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defaultThemeVersion="166925"/>
  <mc:AlternateContent xmlns:mc="http://schemas.openxmlformats.org/markup-compatibility/2006">
    <mc:Choice Requires="x15">
      <x15ac:absPath xmlns:x15ac="http://schemas.microsoft.com/office/spreadsheetml/2010/11/ac" url="C:\Users\fhamdoun001\Documents\SAMA Consumer Lending Regulations\APR Tool _ 2024\"/>
    </mc:Choice>
  </mc:AlternateContent>
  <xr:revisionPtr revIDLastSave="0" documentId="13_ncr:1_{EA4F126B-986D-4848-A760-3C2888D80079}" xr6:coauthVersionLast="47" xr6:coauthVersionMax="47" xr10:uidLastSave="{00000000-0000-0000-0000-000000000000}"/>
  <bookViews>
    <workbookView xWindow="-108" yWindow="-108" windowWidth="23256" windowHeight="12576" tabRatio="862" activeTab="4" xr2:uid="{00000000-000D-0000-FFFF-FFFF00000000}"/>
  </bookViews>
  <sheets>
    <sheet name="Key Definitions" sheetId="11" r:id="rId1"/>
    <sheet name="Input" sheetId="9" r:id="rId2"/>
    <sheet name="Personal Finance" sheetId="1" r:id="rId3"/>
    <sheet name="Auto Finance" sheetId="23" r:id="rId4"/>
    <sheet name="Real Estate Finance" sheetId="13" r:id="rId5"/>
    <sheet name="Credit Card" sheetId="14" r:id="rId6"/>
    <sheet name="Inconsistent Installments" sheetId="15" r:id="rId7"/>
    <sheet name="Examples" sheetId="29" r:id="rId8"/>
    <sheet name="FAQ" sheetId="25" r:id="rId9"/>
    <sheet name="Input-AF (Avg Insurance) " sheetId="27" r:id="rId10"/>
    <sheet name="Auto Finance- Avg Insurance" sheetId="28" r:id="rId1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60" i="9" l="1"/>
  <c r="C6" i="13"/>
  <c r="B19" i="13" s="1"/>
  <c r="B20" i="13" s="1"/>
  <c r="B21" i="13" s="1"/>
  <c r="B22" i="13" s="1"/>
  <c r="B23" i="13" s="1"/>
  <c r="B24" i="13" s="1"/>
  <c r="B25" i="13" s="1"/>
  <c r="B26" i="13" s="1"/>
  <c r="B27" i="13" s="1"/>
  <c r="B28" i="13" s="1"/>
  <c r="B29" i="13" s="1"/>
  <c r="B30" i="13" s="1"/>
  <c r="B31" i="13" s="1"/>
  <c r="B32" i="13" s="1"/>
  <c r="B33" i="13" s="1"/>
  <c r="B34" i="13" s="1"/>
  <c r="B35" i="13" s="1"/>
  <c r="B36" i="13" s="1"/>
  <c r="B37" i="13" s="1"/>
  <c r="B38" i="13" s="1"/>
  <c r="B39" i="13" s="1"/>
  <c r="B40" i="13" s="1"/>
  <c r="B41" i="13" s="1"/>
  <c r="B42" i="13" s="1"/>
  <c r="B43" i="13" s="1"/>
  <c r="B44" i="13" s="1"/>
  <c r="B45" i="13" s="1"/>
  <c r="B46" i="13" s="1"/>
  <c r="B47" i="13" s="1"/>
  <c r="B48" i="13" s="1"/>
  <c r="B49" i="13" s="1"/>
  <c r="B50" i="13" s="1"/>
  <c r="B51" i="13" s="1"/>
  <c r="B52" i="13" s="1"/>
  <c r="B53" i="13" s="1"/>
  <c r="B54" i="13" s="1"/>
  <c r="B55" i="13" s="1"/>
  <c r="B56" i="13" s="1"/>
  <c r="B57" i="13" s="1"/>
  <c r="B58" i="13" s="1"/>
  <c r="B59" i="13" s="1"/>
  <c r="B60" i="13" s="1"/>
  <c r="B61" i="13" s="1"/>
  <c r="B62" i="13" s="1"/>
  <c r="B63" i="13" s="1"/>
  <c r="B64" i="13" s="1"/>
  <c r="B65" i="13" s="1"/>
  <c r="B66" i="13" s="1"/>
  <c r="B67" i="13" s="1"/>
  <c r="B68" i="13" s="1"/>
  <c r="B69" i="13" s="1"/>
  <c r="B70" i="13" s="1"/>
  <c r="B71" i="13" s="1"/>
  <c r="B72" i="13" s="1"/>
  <c r="B73" i="13" s="1"/>
  <c r="B74" i="13" s="1"/>
  <c r="B75" i="13" s="1"/>
  <c r="B76" i="13" s="1"/>
  <c r="B77" i="13" s="1"/>
  <c r="B78" i="13" s="1"/>
  <c r="B79" i="13" s="1"/>
  <c r="B80" i="13" s="1"/>
  <c r="B81" i="13" s="1"/>
  <c r="B82" i="13" s="1"/>
  <c r="B83" i="13" s="1"/>
  <c r="B84" i="13" s="1"/>
  <c r="B85" i="13" s="1"/>
  <c r="B86" i="13" s="1"/>
  <c r="B87" i="13" s="1"/>
  <c r="B88" i="13" s="1"/>
  <c r="B89" i="13" s="1"/>
  <c r="B90" i="13" s="1"/>
  <c r="B91" i="13" s="1"/>
  <c r="B92" i="13" s="1"/>
  <c r="B93" i="13" s="1"/>
  <c r="B94" i="13" s="1"/>
  <c r="B95" i="13" s="1"/>
  <c r="B96" i="13" s="1"/>
  <c r="B97" i="13" s="1"/>
  <c r="B98" i="13" s="1"/>
  <c r="B99" i="13" s="1"/>
  <c r="B100" i="13" s="1"/>
  <c r="B101" i="13" s="1"/>
  <c r="B102" i="13" s="1"/>
  <c r="B103" i="13" s="1"/>
  <c r="B104" i="13" s="1"/>
  <c r="B105" i="13" s="1"/>
  <c r="B106" i="13" s="1"/>
  <c r="B107" i="13" s="1"/>
  <c r="B108" i="13" s="1"/>
  <c r="B109" i="13" s="1"/>
  <c r="B110" i="13" s="1"/>
  <c r="B111" i="13" s="1"/>
  <c r="B112" i="13" s="1"/>
  <c r="B113" i="13" s="1"/>
  <c r="B114" i="13" s="1"/>
  <c r="B115" i="13" s="1"/>
  <c r="B116" i="13" s="1"/>
  <c r="B117" i="13" s="1"/>
  <c r="B118" i="13" s="1"/>
  <c r="B119" i="13" s="1"/>
  <c r="B120" i="13" s="1"/>
  <c r="B121" i="13" s="1"/>
  <c r="B122" i="13" s="1"/>
  <c r="B123" i="13" s="1"/>
  <c r="B124" i="13" s="1"/>
  <c r="B125" i="13" s="1"/>
  <c r="B126" i="13" s="1"/>
  <c r="B127" i="13" s="1"/>
  <c r="B128" i="13" s="1"/>
  <c r="B129" i="13" s="1"/>
  <c r="B130" i="13" s="1"/>
  <c r="B131" i="13" s="1"/>
  <c r="B132" i="13" s="1"/>
  <c r="B133" i="13" s="1"/>
  <c r="B134" i="13" s="1"/>
  <c r="B135" i="13" s="1"/>
  <c r="B136" i="13" s="1"/>
  <c r="B137" i="13" s="1"/>
  <c r="B138" i="13" s="1"/>
  <c r="B139" i="13" s="1"/>
  <c r="B140" i="13" s="1"/>
  <c r="B141" i="13" s="1"/>
  <c r="B142" i="13" s="1"/>
  <c r="B143" i="13" s="1"/>
  <c r="B144" i="13" s="1"/>
  <c r="B145" i="13" s="1"/>
  <c r="B146" i="13" s="1"/>
  <c r="B147" i="13" s="1"/>
  <c r="B148" i="13" s="1"/>
  <c r="B149" i="13" s="1"/>
  <c r="B150" i="13" s="1"/>
  <c r="B151" i="13" s="1"/>
  <c r="B152" i="13" s="1"/>
  <c r="B153" i="13" s="1"/>
  <c r="B154" i="13" s="1"/>
  <c r="B155" i="13" s="1"/>
  <c r="B156" i="13" s="1"/>
  <c r="B157" i="13" s="1"/>
  <c r="B158" i="13" s="1"/>
  <c r="B159" i="13" s="1"/>
  <c r="B160" i="13" s="1"/>
  <c r="B161" i="13" s="1"/>
  <c r="B162" i="13" s="1"/>
  <c r="B163" i="13" s="1"/>
  <c r="B164" i="13" s="1"/>
  <c r="B165" i="13" s="1"/>
  <c r="B166" i="13" s="1"/>
  <c r="B167" i="13" s="1"/>
  <c r="B168" i="13" s="1"/>
  <c r="B169" i="13" s="1"/>
  <c r="B170" i="13" s="1"/>
  <c r="B171" i="13" s="1"/>
  <c r="B172" i="13" s="1"/>
  <c r="B173" i="13" s="1"/>
  <c r="B174" i="13" s="1"/>
  <c r="B175" i="13" s="1"/>
  <c r="B176" i="13" s="1"/>
  <c r="B177" i="13" s="1"/>
  <c r="B178" i="13" s="1"/>
  <c r="B179" i="13" s="1"/>
  <c r="B180" i="13" s="1"/>
  <c r="B181" i="13" s="1"/>
  <c r="B182" i="13" s="1"/>
  <c r="B183" i="13" s="1"/>
  <c r="B184" i="13" s="1"/>
  <c r="B185" i="13" s="1"/>
  <c r="B186" i="13" s="1"/>
  <c r="B187" i="13" s="1"/>
  <c r="B188" i="13" s="1"/>
  <c r="B189" i="13" s="1"/>
  <c r="B190" i="13" s="1"/>
  <c r="B191" i="13" s="1"/>
  <c r="B192" i="13" s="1"/>
  <c r="B193" i="13" s="1"/>
  <c r="B194" i="13" s="1"/>
  <c r="B195" i="13" s="1"/>
  <c r="B196" i="13" s="1"/>
  <c r="B197" i="13" s="1"/>
  <c r="B198" i="13" s="1"/>
  <c r="B199" i="13" s="1"/>
  <c r="B200" i="13" s="1"/>
  <c r="B201" i="13" s="1"/>
  <c r="B202" i="13" s="1"/>
  <c r="B203" i="13" s="1"/>
  <c r="B204" i="13" s="1"/>
  <c r="B205" i="13" s="1"/>
  <c r="B206" i="13" s="1"/>
  <c r="B207" i="13" s="1"/>
  <c r="B208" i="13" s="1"/>
  <c r="B209" i="13" s="1"/>
  <c r="B210" i="13" s="1"/>
  <c r="B211" i="13" s="1"/>
  <c r="B212" i="13" s="1"/>
  <c r="B213" i="13" s="1"/>
  <c r="B214" i="13" s="1"/>
  <c r="B215" i="13" s="1"/>
  <c r="B216" i="13" s="1"/>
  <c r="B217" i="13" s="1"/>
  <c r="B218" i="13" s="1"/>
  <c r="B219" i="13" s="1"/>
  <c r="B220" i="13" s="1"/>
  <c r="B221" i="13" s="1"/>
  <c r="B222" i="13" s="1"/>
  <c r="B223" i="13" s="1"/>
  <c r="B224" i="13" s="1"/>
  <c r="B225" i="13" s="1"/>
  <c r="B226" i="13" s="1"/>
  <c r="B227" i="13" s="1"/>
  <c r="B228" i="13" s="1"/>
  <c r="B229" i="13" s="1"/>
  <c r="B230" i="13" s="1"/>
  <c r="B231" i="13" s="1"/>
  <c r="B232" i="13" s="1"/>
  <c r="B233" i="13" s="1"/>
  <c r="B234" i="13" s="1"/>
  <c r="B235" i="13" s="1"/>
  <c r="B236" i="13" s="1"/>
  <c r="B237" i="13" s="1"/>
  <c r="B238" i="13" s="1"/>
  <c r="B239" i="13" s="1"/>
  <c r="B240" i="13" s="1"/>
  <c r="B241" i="13" s="1"/>
  <c r="B242" i="13" s="1"/>
  <c r="B243" i="13" s="1"/>
  <c r="B244" i="13" s="1"/>
  <c r="B245" i="13" s="1"/>
  <c r="B246" i="13" s="1"/>
  <c r="B247" i="13" s="1"/>
  <c r="B248" i="13" s="1"/>
  <c r="B249" i="13" s="1"/>
  <c r="B250" i="13" s="1"/>
  <c r="B251" i="13" s="1"/>
  <c r="B252" i="13" s="1"/>
  <c r="B253" i="13" s="1"/>
  <c r="B254" i="13" s="1"/>
  <c r="B255" i="13" s="1"/>
  <c r="B256" i="13" s="1"/>
  <c r="B257" i="13" s="1"/>
  <c r="B258" i="13" s="1"/>
  <c r="B259" i="13" s="1"/>
  <c r="B260" i="13" s="1"/>
  <c r="B261" i="13" s="1"/>
  <c r="B262" i="13" s="1"/>
  <c r="B263" i="13" s="1"/>
  <c r="B264" i="13" s="1"/>
  <c r="B265" i="13" s="1"/>
  <c r="B266" i="13" s="1"/>
  <c r="B267" i="13" s="1"/>
  <c r="B268" i="13" s="1"/>
  <c r="B269" i="13" s="1"/>
  <c r="B270" i="13" s="1"/>
  <c r="B271" i="13" s="1"/>
  <c r="B272" i="13" s="1"/>
  <c r="B273" i="13" s="1"/>
  <c r="B274" i="13" s="1"/>
  <c r="B275" i="13" s="1"/>
  <c r="B276" i="13" s="1"/>
  <c r="B277" i="13" s="1"/>
  <c r="B278" i="13" s="1"/>
  <c r="B279" i="13" s="1"/>
  <c r="B280" i="13" s="1"/>
  <c r="B281" i="13" s="1"/>
  <c r="B282" i="13" s="1"/>
  <c r="B283" i="13" s="1"/>
  <c r="B284" i="13" s="1"/>
  <c r="B285" i="13" s="1"/>
  <c r="B286" i="13" s="1"/>
  <c r="B287" i="13" s="1"/>
  <c r="B288" i="13" s="1"/>
  <c r="B289" i="13" s="1"/>
  <c r="B290" i="13" s="1"/>
  <c r="B291" i="13" s="1"/>
  <c r="B292" i="13" s="1"/>
  <c r="B293" i="13" s="1"/>
  <c r="B294" i="13" s="1"/>
  <c r="B295" i="13" s="1"/>
  <c r="B296" i="13" s="1"/>
  <c r="B297" i="13" s="1"/>
  <c r="B298" i="13" s="1"/>
  <c r="B299" i="13" s="1"/>
  <c r="B300" i="13" s="1"/>
  <c r="B301" i="13" s="1"/>
  <c r="B302" i="13" s="1"/>
  <c r="B303" i="13" s="1"/>
  <c r="B304" i="13" s="1"/>
  <c r="B305" i="13" s="1"/>
  <c r="B306" i="13" s="1"/>
  <c r="B307" i="13" s="1"/>
  <c r="B308" i="13" s="1"/>
  <c r="B309" i="13" s="1"/>
  <c r="B310" i="13" s="1"/>
  <c r="B311" i="13" s="1"/>
  <c r="B312" i="13" s="1"/>
  <c r="B313" i="13" s="1"/>
  <c r="B314" i="13" s="1"/>
  <c r="B315" i="13" s="1"/>
  <c r="B316" i="13" s="1"/>
  <c r="B317" i="13" s="1"/>
  <c r="V3" i="1"/>
  <c r="V2" i="1"/>
  <c r="U2" i="1"/>
  <c r="V1" i="1"/>
  <c r="U1" i="1"/>
  <c r="C19" i="28"/>
  <c r="C20" i="28"/>
  <c r="C21" i="28"/>
  <c r="C22" i="28"/>
  <c r="C23" i="28"/>
  <c r="C24" i="28"/>
  <c r="C25" i="28"/>
  <c r="C26" i="28"/>
  <c r="C27" i="28"/>
  <c r="C28" i="28"/>
  <c r="C29" i="28"/>
  <c r="C30" i="28"/>
  <c r="C31" i="28"/>
  <c r="C32" i="28"/>
  <c r="C33" i="28"/>
  <c r="C34" i="28"/>
  <c r="C35" i="28"/>
  <c r="C36" i="28"/>
  <c r="C37" i="28"/>
  <c r="C38" i="28"/>
  <c r="C39" i="28"/>
  <c r="C40" i="28"/>
  <c r="C41" i="28"/>
  <c r="C42" i="28"/>
  <c r="C43" i="28"/>
  <c r="C44" i="28"/>
  <c r="C45" i="28"/>
  <c r="C46" i="28"/>
  <c r="C47" i="28"/>
  <c r="C48" i="28"/>
  <c r="C49" i="28"/>
  <c r="C50" i="28"/>
  <c r="C51" i="28"/>
  <c r="C52" i="28"/>
  <c r="C53" i="28"/>
  <c r="C54" i="28"/>
  <c r="C55" i="28"/>
  <c r="C56" i="28"/>
  <c r="C57" i="28"/>
  <c r="C58" i="28"/>
  <c r="C59" i="28"/>
  <c r="C60" i="28"/>
  <c r="C61" i="28"/>
  <c r="C62" i="28"/>
  <c r="C63" i="28"/>
  <c r="C64" i="28"/>
  <c r="C65" i="28"/>
  <c r="C66" i="28"/>
  <c r="C67" i="28"/>
  <c r="C68" i="28"/>
  <c r="C69" i="28"/>
  <c r="C70" i="28"/>
  <c r="C71" i="28"/>
  <c r="C72" i="28"/>
  <c r="C73" i="28"/>
  <c r="C74" i="28"/>
  <c r="C75" i="28"/>
  <c r="C76" i="28"/>
  <c r="C77" i="28"/>
  <c r="R18" i="14"/>
  <c r="R19" i="14"/>
  <c r="R20" i="14"/>
  <c r="R21" i="14"/>
  <c r="R22" i="14"/>
  <c r="R23" i="14"/>
  <c r="R24" i="14"/>
  <c r="R25" i="14"/>
  <c r="R26" i="14"/>
  <c r="R27" i="14"/>
  <c r="R28" i="14"/>
  <c r="R29" i="14"/>
  <c r="R17" i="14"/>
  <c r="C18" i="23" l="1"/>
  <c r="E41" i="9"/>
  <c r="C73" i="15" l="1"/>
  <c r="E24" i="27" l="1"/>
  <c r="S17" i="28"/>
  <c r="E24" i="9"/>
  <c r="J35" i="9"/>
  <c r="J34" i="9"/>
  <c r="M2" i="15"/>
  <c r="N2" i="15"/>
  <c r="M1" i="15"/>
  <c r="N1" i="15" s="1"/>
  <c r="I13" i="15"/>
  <c r="J74" i="15"/>
  <c r="J75" i="15"/>
  <c r="J76" i="15"/>
  <c r="J77" i="15"/>
  <c r="J78" i="15"/>
  <c r="J79" i="15"/>
  <c r="J80" i="15"/>
  <c r="J81" i="15"/>
  <c r="J82" i="15"/>
  <c r="J83" i="15"/>
  <c r="J84" i="15"/>
  <c r="J85" i="15"/>
  <c r="J86" i="15"/>
  <c r="J87" i="15"/>
  <c r="J88" i="15"/>
  <c r="J89" i="15"/>
  <c r="J90" i="15"/>
  <c r="J91" i="15"/>
  <c r="J92" i="15"/>
  <c r="J93" i="15"/>
  <c r="J94" i="15"/>
  <c r="J95" i="15"/>
  <c r="J96" i="15"/>
  <c r="J97" i="15"/>
  <c r="J98" i="15"/>
  <c r="J99" i="15"/>
  <c r="J100" i="15"/>
  <c r="J101" i="15"/>
  <c r="J102" i="15"/>
  <c r="J103" i="15"/>
  <c r="J104" i="15"/>
  <c r="J105" i="15"/>
  <c r="J106" i="15"/>
  <c r="J107" i="15"/>
  <c r="J108" i="15"/>
  <c r="J109" i="15"/>
  <c r="J110" i="15"/>
  <c r="J111" i="15"/>
  <c r="J112" i="15"/>
  <c r="J113" i="15"/>
  <c r="J114" i="15"/>
  <c r="J115" i="15"/>
  <c r="J116" i="15"/>
  <c r="J117" i="15"/>
  <c r="J118" i="15"/>
  <c r="J119" i="15"/>
  <c r="J120" i="15"/>
  <c r="J121" i="15"/>
  <c r="J122" i="15"/>
  <c r="J123" i="15"/>
  <c r="J124" i="15"/>
  <c r="J125" i="15"/>
  <c r="J126" i="15"/>
  <c r="J127" i="15"/>
  <c r="J128" i="15"/>
  <c r="J129" i="15"/>
  <c r="J130" i="15"/>
  <c r="J131" i="15"/>
  <c r="J132" i="15"/>
  <c r="J133" i="15"/>
  <c r="J134" i="15"/>
  <c r="J135" i="15"/>
  <c r="J136" i="15"/>
  <c r="J137" i="15"/>
  <c r="J138" i="15"/>
  <c r="J139" i="15"/>
  <c r="J140" i="15"/>
  <c r="J141" i="15"/>
  <c r="J142" i="15"/>
  <c r="J143" i="15"/>
  <c r="J144" i="15"/>
  <c r="J145" i="15"/>
  <c r="J146" i="15"/>
  <c r="J147" i="15"/>
  <c r="J148" i="15"/>
  <c r="J149" i="15"/>
  <c r="J150" i="15"/>
  <c r="J151" i="15"/>
  <c r="J152" i="15"/>
  <c r="J153" i="15"/>
  <c r="J154" i="15"/>
  <c r="J155" i="15"/>
  <c r="J156" i="15"/>
  <c r="J157" i="15"/>
  <c r="J158" i="15"/>
  <c r="J159" i="15"/>
  <c r="J160" i="15"/>
  <c r="J161" i="15"/>
  <c r="J162" i="15"/>
  <c r="J163" i="15"/>
  <c r="J164" i="15"/>
  <c r="J165" i="15"/>
  <c r="J166" i="15"/>
  <c r="J167" i="15"/>
  <c r="J168" i="15"/>
  <c r="J169" i="15"/>
  <c r="J170" i="15"/>
  <c r="J171" i="15"/>
  <c r="J172" i="15"/>
  <c r="J173" i="15"/>
  <c r="J174" i="15"/>
  <c r="J175" i="15"/>
  <c r="J176" i="15"/>
  <c r="J177" i="15"/>
  <c r="J178" i="15"/>
  <c r="J179" i="15"/>
  <c r="J180" i="15"/>
  <c r="J181" i="15"/>
  <c r="J182" i="15"/>
  <c r="J183" i="15"/>
  <c r="J184" i="15"/>
  <c r="J185" i="15"/>
  <c r="J186" i="15"/>
  <c r="J187" i="15"/>
  <c r="J188" i="15"/>
  <c r="J189" i="15"/>
  <c r="J190" i="15"/>
  <c r="J191" i="15"/>
  <c r="J192" i="15"/>
  <c r="J193" i="15"/>
  <c r="J194" i="15"/>
  <c r="J195" i="15"/>
  <c r="J196" i="15"/>
  <c r="J197" i="15"/>
  <c r="J198" i="15"/>
  <c r="J199" i="15"/>
  <c r="J200" i="15"/>
  <c r="J201" i="15"/>
  <c r="J202" i="15"/>
  <c r="J203" i="15"/>
  <c r="J204" i="15"/>
  <c r="J205" i="15"/>
  <c r="J206" i="15"/>
  <c r="J207" i="15"/>
  <c r="J208" i="15"/>
  <c r="J209" i="15"/>
  <c r="J210" i="15"/>
  <c r="J211" i="15"/>
  <c r="J212" i="15"/>
  <c r="J213" i="15"/>
  <c r="J214" i="15"/>
  <c r="J215" i="15"/>
  <c r="J216" i="15"/>
  <c r="J217" i="15"/>
  <c r="J218" i="15"/>
  <c r="J219" i="15"/>
  <c r="J220" i="15"/>
  <c r="J221" i="15"/>
  <c r="J222" i="15"/>
  <c r="J223" i="15"/>
  <c r="J224" i="15"/>
  <c r="J225" i="15"/>
  <c r="J226" i="15"/>
  <c r="J227" i="15"/>
  <c r="J228" i="15"/>
  <c r="J229" i="15"/>
  <c r="J230" i="15"/>
  <c r="J231" i="15"/>
  <c r="J232" i="15"/>
  <c r="J233" i="15"/>
  <c r="J234" i="15"/>
  <c r="J235" i="15"/>
  <c r="J236" i="15"/>
  <c r="J237" i="15"/>
  <c r="J238" i="15"/>
  <c r="J239" i="15"/>
  <c r="J240" i="15"/>
  <c r="J241" i="15"/>
  <c r="J242" i="15"/>
  <c r="J243" i="15"/>
  <c r="J244" i="15"/>
  <c r="J245" i="15"/>
  <c r="J246" i="15"/>
  <c r="J247" i="15"/>
  <c r="J248" i="15"/>
  <c r="J249" i="15"/>
  <c r="J250" i="15"/>
  <c r="J251" i="15"/>
  <c r="J252" i="15"/>
  <c r="J253" i="15"/>
  <c r="J254" i="15"/>
  <c r="J255" i="15"/>
  <c r="J256" i="15"/>
  <c r="J257" i="15"/>
  <c r="J258" i="15"/>
  <c r="J259" i="15"/>
  <c r="J260" i="15"/>
  <c r="J261" i="15"/>
  <c r="J262" i="15"/>
  <c r="J263" i="15"/>
  <c r="J264" i="15"/>
  <c r="J265" i="15"/>
  <c r="J266" i="15"/>
  <c r="J267" i="15"/>
  <c r="J268" i="15"/>
  <c r="J269" i="15"/>
  <c r="J270" i="15"/>
  <c r="J271" i="15"/>
  <c r="J272" i="15"/>
  <c r="J273" i="15"/>
  <c r="J274" i="15"/>
  <c r="J275" i="15"/>
  <c r="J276" i="15"/>
  <c r="J277" i="15"/>
  <c r="J278" i="15"/>
  <c r="J279" i="15"/>
  <c r="J280" i="15"/>
  <c r="J281" i="15"/>
  <c r="J282" i="15"/>
  <c r="J283" i="15"/>
  <c r="J284" i="15"/>
  <c r="J285" i="15"/>
  <c r="J286" i="15"/>
  <c r="J287" i="15"/>
  <c r="J288" i="15"/>
  <c r="J289" i="15"/>
  <c r="J290" i="15"/>
  <c r="J291" i="15"/>
  <c r="J292" i="15"/>
  <c r="J293" i="15"/>
  <c r="J294" i="15"/>
  <c r="J295" i="15"/>
  <c r="J296" i="15"/>
  <c r="J297" i="15"/>
  <c r="J298" i="15"/>
  <c r="J299" i="15"/>
  <c r="J300" i="15"/>
  <c r="J301" i="15"/>
  <c r="J302" i="15"/>
  <c r="J303" i="15"/>
  <c r="J304" i="15"/>
  <c r="J305" i="15"/>
  <c r="J306" i="15"/>
  <c r="J307" i="15"/>
  <c r="J308" i="15"/>
  <c r="J309" i="15"/>
  <c r="J310" i="15"/>
  <c r="J311" i="15"/>
  <c r="J312" i="15"/>
  <c r="J313" i="15"/>
  <c r="J314" i="15"/>
  <c r="J315" i="15"/>
  <c r="J316" i="15"/>
  <c r="J317" i="15"/>
  <c r="J318" i="15"/>
  <c r="J319" i="15"/>
  <c r="J320" i="15"/>
  <c r="J321" i="15"/>
  <c r="J322" i="15"/>
  <c r="J323" i="15"/>
  <c r="J324" i="15"/>
  <c r="J325" i="15"/>
  <c r="J326" i="15"/>
  <c r="J327" i="15"/>
  <c r="J328" i="15"/>
  <c r="J329" i="15"/>
  <c r="J330" i="15"/>
  <c r="J331" i="15"/>
  <c r="J332" i="15"/>
  <c r="J333" i="15"/>
  <c r="J334" i="15"/>
  <c r="J335" i="15"/>
  <c r="J336" i="15"/>
  <c r="J337" i="15"/>
  <c r="J338" i="15"/>
  <c r="J339" i="15"/>
  <c r="J340" i="15"/>
  <c r="J341" i="15"/>
  <c r="J342" i="15"/>
  <c r="J343" i="15"/>
  <c r="J344" i="15"/>
  <c r="J345" i="15"/>
  <c r="J346" i="15"/>
  <c r="J347" i="15"/>
  <c r="J348" i="15"/>
  <c r="J349" i="15"/>
  <c r="J350" i="15"/>
  <c r="J351" i="15"/>
  <c r="J352" i="15"/>
  <c r="J353" i="15"/>
  <c r="J354" i="15"/>
  <c r="J355" i="15"/>
  <c r="J356" i="15"/>
  <c r="J357" i="15"/>
  <c r="J358" i="15"/>
  <c r="J359" i="15"/>
  <c r="J360" i="15"/>
  <c r="J361" i="15"/>
  <c r="J362" i="15"/>
  <c r="J363" i="15"/>
  <c r="J364" i="15"/>
  <c r="J365" i="15"/>
  <c r="J366" i="15"/>
  <c r="J367" i="15"/>
  <c r="J368" i="15"/>
  <c r="J369" i="15"/>
  <c r="J370" i="15"/>
  <c r="J371" i="15"/>
  <c r="J372" i="15"/>
  <c r="J373" i="15"/>
  <c r="K29" i="27"/>
  <c r="K28" i="27"/>
  <c r="K27" i="27"/>
  <c r="K26" i="27"/>
  <c r="K46" i="9"/>
  <c r="K45" i="9"/>
  <c r="K44" i="9"/>
  <c r="K43" i="9"/>
  <c r="J17" i="27"/>
  <c r="J37" i="9"/>
  <c r="J15" i="15" l="1"/>
  <c r="J14" i="15"/>
  <c r="J17" i="23"/>
  <c r="J17" i="28"/>
  <c r="J16" i="15" l="1"/>
  <c r="E19" i="14"/>
  <c r="E20" i="14"/>
  <c r="E21" i="14"/>
  <c r="E22" i="14"/>
  <c r="E23" i="14"/>
  <c r="E24" i="14"/>
  <c r="E25" i="14"/>
  <c r="E26" i="14"/>
  <c r="E27" i="14"/>
  <c r="E28" i="14"/>
  <c r="E29" i="14"/>
  <c r="E18" i="14"/>
  <c r="D20" i="14"/>
  <c r="D21" i="14"/>
  <c r="D22" i="14"/>
  <c r="D23" i="14"/>
  <c r="D24" i="14"/>
  <c r="D25" i="14"/>
  <c r="D26" i="14"/>
  <c r="D27" i="14"/>
  <c r="D28" i="14"/>
  <c r="D29" i="14"/>
  <c r="D19" i="14"/>
  <c r="D18" i="14"/>
  <c r="J17" i="15" l="1"/>
  <c r="J18" i="27"/>
  <c r="J20" i="27"/>
  <c r="L17" i="28"/>
  <c r="J29" i="27"/>
  <c r="J46" i="9"/>
  <c r="L46" i="9" s="1"/>
  <c r="M18" i="28"/>
  <c r="K18" i="28"/>
  <c r="J18" i="28"/>
  <c r="C18" i="28"/>
  <c r="S18" i="28" s="1"/>
  <c r="A18" i="28"/>
  <c r="C17" i="28"/>
  <c r="C13" i="28"/>
  <c r="C8" i="28"/>
  <c r="C6" i="28"/>
  <c r="B19" i="28" s="1"/>
  <c r="B20" i="28" s="1"/>
  <c r="B21" i="28" s="1"/>
  <c r="B22" i="28" s="1"/>
  <c r="B23" i="28" s="1"/>
  <c r="B24" i="28" s="1"/>
  <c r="B25" i="28" s="1"/>
  <c r="B26" i="28" s="1"/>
  <c r="B27" i="28" s="1"/>
  <c r="B28" i="28" s="1"/>
  <c r="B29" i="28" s="1"/>
  <c r="B30" i="28" s="1"/>
  <c r="B31" i="28" s="1"/>
  <c r="B32" i="28" s="1"/>
  <c r="B33" i="28" s="1"/>
  <c r="B34" i="28" s="1"/>
  <c r="B35" i="28" s="1"/>
  <c r="B36" i="28" s="1"/>
  <c r="B37" i="28" s="1"/>
  <c r="B38" i="28" s="1"/>
  <c r="B39" i="28" s="1"/>
  <c r="B40" i="28" s="1"/>
  <c r="B41" i="28" s="1"/>
  <c r="B42" i="28" s="1"/>
  <c r="B43" i="28" s="1"/>
  <c r="B44" i="28" s="1"/>
  <c r="B45" i="28" s="1"/>
  <c r="B46" i="28" s="1"/>
  <c r="B47" i="28" s="1"/>
  <c r="B48" i="28" s="1"/>
  <c r="B49" i="28" s="1"/>
  <c r="B50" i="28" s="1"/>
  <c r="B51" i="28" s="1"/>
  <c r="B52" i="28" s="1"/>
  <c r="B53" i="28" s="1"/>
  <c r="B54" i="28" s="1"/>
  <c r="B55" i="28" s="1"/>
  <c r="B56" i="28" s="1"/>
  <c r="B57" i="28" s="1"/>
  <c r="B58" i="28" s="1"/>
  <c r="B59" i="28" s="1"/>
  <c r="B60" i="28" s="1"/>
  <c r="B61" i="28" s="1"/>
  <c r="B62" i="28" s="1"/>
  <c r="B63" i="28" s="1"/>
  <c r="B64" i="28" s="1"/>
  <c r="B65" i="28" s="1"/>
  <c r="B66" i="28" s="1"/>
  <c r="B67" i="28" s="1"/>
  <c r="B68" i="28" s="1"/>
  <c r="B69" i="28" s="1"/>
  <c r="B70" i="28" s="1"/>
  <c r="B71" i="28" s="1"/>
  <c r="B72" i="28" s="1"/>
  <c r="B73" i="28" s="1"/>
  <c r="B74" i="28" s="1"/>
  <c r="B75" i="28" s="1"/>
  <c r="B76" i="28" s="1"/>
  <c r="B77" i="28" s="1"/>
  <c r="W2" i="28"/>
  <c r="V2" i="28"/>
  <c r="W1" i="28"/>
  <c r="V1" i="28"/>
  <c r="K25" i="27"/>
  <c r="M17" i="28"/>
  <c r="K17" i="28"/>
  <c r="O17" i="28" l="1"/>
  <c r="J18" i="15"/>
  <c r="D19" i="28"/>
  <c r="D18" i="28"/>
  <c r="E18" i="28"/>
  <c r="G18" i="28" s="1"/>
  <c r="E19" i="28"/>
  <c r="J25" i="27"/>
  <c r="L25" i="27" s="1"/>
  <c r="J26" i="27"/>
  <c r="L26" i="27" s="1"/>
  <c r="J28" i="27"/>
  <c r="J27" i="27"/>
  <c r="J42" i="9"/>
  <c r="L42" i="9" s="1"/>
  <c r="J45" i="9"/>
  <c r="L45" i="9" s="1"/>
  <c r="J43" i="9"/>
  <c r="L43" i="9" s="1"/>
  <c r="J44" i="9"/>
  <c r="L44" i="9" s="1"/>
  <c r="N17" i="28"/>
  <c r="T17" i="28" s="1"/>
  <c r="C11" i="28"/>
  <c r="J19" i="15" l="1"/>
  <c r="H18" i="28"/>
  <c r="F18" i="28"/>
  <c r="I18" i="28" s="1"/>
  <c r="H19" i="28"/>
  <c r="I36" i="9"/>
  <c r="J36" i="9" s="1"/>
  <c r="K19" i="28"/>
  <c r="S19" i="28"/>
  <c r="J19" i="28"/>
  <c r="A19" i="28"/>
  <c r="M19" i="28"/>
  <c r="J20" i="15" l="1"/>
  <c r="F19" i="28"/>
  <c r="I19" i="28" s="1"/>
  <c r="D20" i="28"/>
  <c r="E20" i="28"/>
  <c r="G19" i="28"/>
  <c r="L27" i="27"/>
  <c r="K20" i="28"/>
  <c r="S20" i="28"/>
  <c r="J20" i="28"/>
  <c r="A20" i="28"/>
  <c r="M20" i="28"/>
  <c r="J21" i="15" l="1"/>
  <c r="H20" i="28"/>
  <c r="E21" i="28"/>
  <c r="D21" i="28"/>
  <c r="L29" i="27"/>
  <c r="L28" i="27"/>
  <c r="M27" i="27" s="1"/>
  <c r="I19" i="27"/>
  <c r="F20" i="28"/>
  <c r="I20" i="28" s="1"/>
  <c r="J21" i="28"/>
  <c r="A21" i="28"/>
  <c r="M21" i="28"/>
  <c r="K21" i="28"/>
  <c r="S21" i="28"/>
  <c r="G20" i="28"/>
  <c r="J22" i="15" l="1"/>
  <c r="H21" i="28"/>
  <c r="D22" i="28"/>
  <c r="E22" i="28"/>
  <c r="I21" i="27"/>
  <c r="J21" i="27" s="1"/>
  <c r="J19" i="27"/>
  <c r="M25" i="27"/>
  <c r="M26" i="27"/>
  <c r="M29" i="27"/>
  <c r="M28" i="27"/>
  <c r="G21" i="28"/>
  <c r="A22" i="28"/>
  <c r="M22" i="28"/>
  <c r="K22" i="28"/>
  <c r="S22" i="28"/>
  <c r="J22" i="28"/>
  <c r="F21" i="28"/>
  <c r="I21" i="28" s="1"/>
  <c r="J23" i="15" l="1"/>
  <c r="H22" i="28"/>
  <c r="D23" i="28"/>
  <c r="E23" i="28"/>
  <c r="L19" i="28"/>
  <c r="L18" i="28"/>
  <c r="L20" i="28"/>
  <c r="L21" i="28"/>
  <c r="L22" i="28"/>
  <c r="L23" i="28"/>
  <c r="L24" i="28"/>
  <c r="G22" i="28"/>
  <c r="F22" i="28"/>
  <c r="I22" i="28" s="1"/>
  <c r="M23" i="28"/>
  <c r="K23" i="28"/>
  <c r="S23" i="28"/>
  <c r="J23" i="28"/>
  <c r="A23" i="28"/>
  <c r="J24" i="15" l="1"/>
  <c r="H23" i="28"/>
  <c r="E24" i="28"/>
  <c r="D24" i="28"/>
  <c r="N19" i="28"/>
  <c r="O19" i="28" s="1"/>
  <c r="T19" i="28" s="1"/>
  <c r="N18" i="28"/>
  <c r="O18" i="28" s="1"/>
  <c r="T18" i="28" s="1"/>
  <c r="N20" i="28"/>
  <c r="O20" i="28" s="1"/>
  <c r="T20" i="28" s="1"/>
  <c r="N21" i="28"/>
  <c r="O21" i="28" s="1"/>
  <c r="T21" i="28" s="1"/>
  <c r="N23" i="28"/>
  <c r="G23" i="28"/>
  <c r="M24" i="28"/>
  <c r="K24" i="28"/>
  <c r="S24" i="28"/>
  <c r="J24" i="28"/>
  <c r="A24" i="28"/>
  <c r="F23" i="28"/>
  <c r="I23" i="28" s="1"/>
  <c r="J25" i="15" l="1"/>
  <c r="H24" i="28"/>
  <c r="E25" i="28"/>
  <c r="D25" i="28"/>
  <c r="L25" i="28"/>
  <c r="G24" i="28"/>
  <c r="N24" i="28"/>
  <c r="O23" i="28"/>
  <c r="T23" i="28" s="1"/>
  <c r="F24" i="28"/>
  <c r="I24" i="28" s="1"/>
  <c r="M25" i="28"/>
  <c r="K25" i="28"/>
  <c r="S25" i="28"/>
  <c r="J25" i="28"/>
  <c r="A25" i="28"/>
  <c r="J26" i="15" l="1"/>
  <c r="G25" i="28"/>
  <c r="H25" i="28"/>
  <c r="D26" i="28"/>
  <c r="E26" i="28"/>
  <c r="L26" i="28"/>
  <c r="N25" i="28"/>
  <c r="F25" i="28"/>
  <c r="I25" i="28" s="1"/>
  <c r="O24" i="28"/>
  <c r="T24" i="28" s="1"/>
  <c r="M26" i="28"/>
  <c r="K26" i="28"/>
  <c r="S26" i="28"/>
  <c r="J26" i="28"/>
  <c r="A26" i="28"/>
  <c r="J27" i="15" l="1"/>
  <c r="H26" i="28"/>
  <c r="G26" i="28"/>
  <c r="D27" i="28"/>
  <c r="E27" i="28"/>
  <c r="G27" i="28" s="1"/>
  <c r="L27" i="28"/>
  <c r="O25" i="28"/>
  <c r="T25" i="28" s="1"/>
  <c r="N26" i="28"/>
  <c r="F26" i="28"/>
  <c r="I26" i="28" s="1"/>
  <c r="M27" i="28"/>
  <c r="S27" i="28"/>
  <c r="K27" i="28"/>
  <c r="J27" i="28"/>
  <c r="A27" i="28"/>
  <c r="J28" i="15" l="1"/>
  <c r="H27" i="28"/>
  <c r="D28" i="28"/>
  <c r="E28" i="28"/>
  <c r="G28" i="28" s="1"/>
  <c r="L28" i="28"/>
  <c r="O26" i="28"/>
  <c r="T26" i="28" s="1"/>
  <c r="N27" i="28"/>
  <c r="F27" i="28"/>
  <c r="I27" i="28" s="1"/>
  <c r="J28" i="28"/>
  <c r="S28" i="28"/>
  <c r="M28" i="28"/>
  <c r="K28" i="28"/>
  <c r="A28" i="28"/>
  <c r="J29" i="15" l="1"/>
  <c r="H28" i="28"/>
  <c r="E29" i="28"/>
  <c r="G29" i="28" s="1"/>
  <c r="D29" i="28"/>
  <c r="H29" i="28" s="1"/>
  <c r="L29" i="28"/>
  <c r="N28" i="28"/>
  <c r="F28" i="28"/>
  <c r="I28" i="28" s="1"/>
  <c r="O27" i="28"/>
  <c r="T27" i="28" s="1"/>
  <c r="M29" i="28"/>
  <c r="K29" i="28"/>
  <c r="S29" i="28"/>
  <c r="A29" i="28"/>
  <c r="J29" i="28"/>
  <c r="J30" i="15" l="1"/>
  <c r="D30" i="28"/>
  <c r="E30" i="28"/>
  <c r="G30" i="28" s="1"/>
  <c r="L30" i="28"/>
  <c r="O28" i="28"/>
  <c r="T28" i="28" s="1"/>
  <c r="N29" i="28"/>
  <c r="J30" i="28"/>
  <c r="M30" i="28"/>
  <c r="K30" i="28"/>
  <c r="S30" i="28"/>
  <c r="A30" i="28"/>
  <c r="F29" i="28"/>
  <c r="I29" i="28" s="1"/>
  <c r="J31" i="15" l="1"/>
  <c r="H30" i="28"/>
  <c r="D31" i="28"/>
  <c r="E31" i="28"/>
  <c r="G31" i="28" s="1"/>
  <c r="L31" i="28"/>
  <c r="N30" i="28"/>
  <c r="O29" i="28"/>
  <c r="T29" i="28" s="1"/>
  <c r="K31" i="28"/>
  <c r="S31" i="28"/>
  <c r="A31" i="28"/>
  <c r="M31" i="28"/>
  <c r="J31" i="28"/>
  <c r="F30" i="28"/>
  <c r="I30" i="28" s="1"/>
  <c r="J32" i="15" l="1"/>
  <c r="H31" i="28"/>
  <c r="E32" i="28"/>
  <c r="G32" i="28" s="1"/>
  <c r="D32" i="28"/>
  <c r="L32" i="28"/>
  <c r="O30" i="28"/>
  <c r="T30" i="28" s="1"/>
  <c r="N31" i="28"/>
  <c r="F31" i="28"/>
  <c r="I31" i="28" s="1"/>
  <c r="J32" i="28"/>
  <c r="K32" i="28"/>
  <c r="S32" i="28"/>
  <c r="A32" i="28"/>
  <c r="M32" i="28"/>
  <c r="J33" i="15" l="1"/>
  <c r="H32" i="28"/>
  <c r="D33" i="28"/>
  <c r="E33" i="28"/>
  <c r="G33" i="28" s="1"/>
  <c r="L33" i="28"/>
  <c r="N32" i="28"/>
  <c r="O31" i="28"/>
  <c r="T31" i="28" s="1"/>
  <c r="F32" i="28"/>
  <c r="I32" i="28" s="1"/>
  <c r="A33" i="28"/>
  <c r="M33" i="28"/>
  <c r="K33" i="28"/>
  <c r="S33" i="28"/>
  <c r="J33" i="28"/>
  <c r="J34" i="15" l="1"/>
  <c r="H33" i="28"/>
  <c r="D34" i="28"/>
  <c r="E34" i="28"/>
  <c r="G34" i="28" s="1"/>
  <c r="L34" i="28"/>
  <c r="O32" i="28"/>
  <c r="T32" i="28" s="1"/>
  <c r="N33" i="28"/>
  <c r="F33" i="28"/>
  <c r="I33" i="28" s="1"/>
  <c r="M34" i="28"/>
  <c r="J34" i="28"/>
  <c r="A34" i="28"/>
  <c r="S34" i="28"/>
  <c r="K34" i="28"/>
  <c r="J35" i="15" l="1"/>
  <c r="H34" i="28"/>
  <c r="E35" i="28"/>
  <c r="G35" i="28" s="1"/>
  <c r="D35" i="28"/>
  <c r="L35" i="28"/>
  <c r="N34" i="28"/>
  <c r="O33" i="28"/>
  <c r="T33" i="28" s="1"/>
  <c r="M35" i="28"/>
  <c r="K35" i="28"/>
  <c r="S35" i="28"/>
  <c r="A35" i="28"/>
  <c r="J35" i="28"/>
  <c r="F34" i="28"/>
  <c r="I34" i="28" s="1"/>
  <c r="J36" i="15" l="1"/>
  <c r="H35" i="28"/>
  <c r="D36" i="28"/>
  <c r="E36" i="28"/>
  <c r="G36" i="28" s="1"/>
  <c r="L36" i="28"/>
  <c r="O34" i="28"/>
  <c r="T34" i="28" s="1"/>
  <c r="N35" i="28"/>
  <c r="F35" i="28"/>
  <c r="I35" i="28" s="1"/>
  <c r="K36" i="28"/>
  <c r="S36" i="28"/>
  <c r="J36" i="28"/>
  <c r="A36" i="28"/>
  <c r="M36" i="28"/>
  <c r="J37" i="15" l="1"/>
  <c r="H36" i="28"/>
  <c r="E37" i="28"/>
  <c r="G37" i="28" s="1"/>
  <c r="D37" i="28"/>
  <c r="L37" i="28"/>
  <c r="O35" i="28"/>
  <c r="T35" i="28" s="1"/>
  <c r="N36" i="28"/>
  <c r="M37" i="28"/>
  <c r="K37" i="28"/>
  <c r="S37" i="28"/>
  <c r="J37" i="28"/>
  <c r="A37" i="28"/>
  <c r="F36" i="28"/>
  <c r="I36" i="28" s="1"/>
  <c r="J38" i="15" l="1"/>
  <c r="H37" i="28"/>
  <c r="D38" i="28"/>
  <c r="E38" i="28"/>
  <c r="G38" i="28" s="1"/>
  <c r="L38" i="28"/>
  <c r="N37" i="28"/>
  <c r="O36" i="28"/>
  <c r="T36" i="28" s="1"/>
  <c r="F37" i="28"/>
  <c r="I37" i="28" s="1"/>
  <c r="J38" i="28"/>
  <c r="M38" i="28"/>
  <c r="S38" i="28"/>
  <c r="A38" i="28"/>
  <c r="K38" i="28"/>
  <c r="J39" i="15" l="1"/>
  <c r="H38" i="28"/>
  <c r="E39" i="28"/>
  <c r="G39" i="28" s="1"/>
  <c r="D39" i="28"/>
  <c r="L39" i="28"/>
  <c r="N38" i="28"/>
  <c r="O37" i="28"/>
  <c r="T37" i="28" s="1"/>
  <c r="M39" i="28"/>
  <c r="A39" i="28"/>
  <c r="J39" i="28"/>
  <c r="S39" i="28"/>
  <c r="K39" i="28"/>
  <c r="F38" i="28"/>
  <c r="I38" i="28" s="1"/>
  <c r="J40" i="15" l="1"/>
  <c r="H39" i="28"/>
  <c r="E40" i="28"/>
  <c r="G40" i="28" s="1"/>
  <c r="D40" i="28"/>
  <c r="L40" i="28"/>
  <c r="O38" i="28"/>
  <c r="T38" i="28" s="1"/>
  <c r="N39" i="28"/>
  <c r="F39" i="28"/>
  <c r="I39" i="28" s="1"/>
  <c r="S40" i="28"/>
  <c r="K40" i="28"/>
  <c r="A40" i="28"/>
  <c r="J40" i="28"/>
  <c r="M40" i="28"/>
  <c r="J41" i="15" l="1"/>
  <c r="H40" i="28"/>
  <c r="E41" i="28"/>
  <c r="G41" i="28" s="1"/>
  <c r="D41" i="28"/>
  <c r="L41" i="28"/>
  <c r="O39" i="28"/>
  <c r="T39" i="28" s="1"/>
  <c r="F40" i="28"/>
  <c r="I40" i="28" s="1"/>
  <c r="N40" i="28"/>
  <c r="K41" i="28"/>
  <c r="S41" i="28"/>
  <c r="M41" i="28"/>
  <c r="A41" i="28"/>
  <c r="J41" i="28"/>
  <c r="J42" i="15" l="1"/>
  <c r="H41" i="28"/>
  <c r="D42" i="28"/>
  <c r="E42" i="28"/>
  <c r="G42" i="28" s="1"/>
  <c r="L42" i="28"/>
  <c r="F41" i="28"/>
  <c r="I41" i="28" s="1"/>
  <c r="N41" i="28"/>
  <c r="O40" i="28"/>
  <c r="T40" i="28" s="1"/>
  <c r="J42" i="28"/>
  <c r="A42" i="28"/>
  <c r="M42" i="28"/>
  <c r="S42" i="28"/>
  <c r="K42" i="28"/>
  <c r="J43" i="15" l="1"/>
  <c r="H42" i="28"/>
  <c r="D43" i="28"/>
  <c r="E43" i="28"/>
  <c r="G43" i="28" s="1"/>
  <c r="L43" i="28"/>
  <c r="N42" i="28"/>
  <c r="O41" i="28"/>
  <c r="T41" i="28" s="1"/>
  <c r="A43" i="28"/>
  <c r="M43" i="28"/>
  <c r="S43" i="28"/>
  <c r="K43" i="28"/>
  <c r="J43" i="28"/>
  <c r="F42" i="28"/>
  <c r="I42" i="28" s="1"/>
  <c r="J44" i="15" l="1"/>
  <c r="H43" i="28"/>
  <c r="E44" i="28"/>
  <c r="G44" i="28" s="1"/>
  <c r="D44" i="28"/>
  <c r="H44" i="28" s="1"/>
  <c r="L44" i="28"/>
  <c r="N43" i="28"/>
  <c r="F43" i="28"/>
  <c r="I43" i="28" s="1"/>
  <c r="O42" i="28"/>
  <c r="T42" i="28" s="1"/>
  <c r="J44" i="28"/>
  <c r="S44" i="28"/>
  <c r="M44" i="28"/>
  <c r="K44" i="28"/>
  <c r="A44" i="28"/>
  <c r="J45" i="15" l="1"/>
  <c r="E45" i="28"/>
  <c r="G45" i="28" s="1"/>
  <c r="D45" i="28"/>
  <c r="L45" i="28"/>
  <c r="O43" i="28"/>
  <c r="T43" i="28" s="1"/>
  <c r="N44" i="28"/>
  <c r="F44" i="28"/>
  <c r="I44" i="28" s="1"/>
  <c r="K45" i="28"/>
  <c r="S45" i="28"/>
  <c r="M45" i="28"/>
  <c r="A45" i="28"/>
  <c r="J45" i="28"/>
  <c r="J46" i="15" l="1"/>
  <c r="H45" i="28"/>
  <c r="D46" i="28"/>
  <c r="E46" i="28"/>
  <c r="G46" i="28" s="1"/>
  <c r="L46" i="28"/>
  <c r="N45" i="28"/>
  <c r="F45" i="28"/>
  <c r="I45" i="28" s="1"/>
  <c r="O44" i="28"/>
  <c r="T44" i="28" s="1"/>
  <c r="J46" i="28"/>
  <c r="M46" i="28"/>
  <c r="S46" i="28"/>
  <c r="A46" i="28"/>
  <c r="K46" i="28"/>
  <c r="J47" i="15" l="1"/>
  <c r="H46" i="28"/>
  <c r="E47" i="28"/>
  <c r="G47" i="28" s="1"/>
  <c r="D47" i="28"/>
  <c r="L47" i="28"/>
  <c r="N46" i="28"/>
  <c r="O45" i="28"/>
  <c r="T45" i="28" s="1"/>
  <c r="F46" i="28"/>
  <c r="I46" i="28" s="1"/>
  <c r="M47" i="28"/>
  <c r="A47" i="28"/>
  <c r="K47" i="28"/>
  <c r="J47" i="28"/>
  <c r="S47" i="28"/>
  <c r="J48" i="15" l="1"/>
  <c r="H47" i="28"/>
  <c r="D48" i="28"/>
  <c r="E48" i="28"/>
  <c r="G48" i="28" s="1"/>
  <c r="L48" i="28"/>
  <c r="F47" i="28"/>
  <c r="I47" i="28" s="1"/>
  <c r="N47" i="28"/>
  <c r="O46" i="28"/>
  <c r="T46" i="28" s="1"/>
  <c r="S48" i="28"/>
  <c r="M48" i="28"/>
  <c r="K48" i="28"/>
  <c r="A48" i="28"/>
  <c r="J48" i="28"/>
  <c r="J49" i="15" l="1"/>
  <c r="H48" i="28"/>
  <c r="D49" i="28"/>
  <c r="E49" i="28"/>
  <c r="G49" i="28" s="1"/>
  <c r="L49" i="28"/>
  <c r="N48" i="28"/>
  <c r="O47" i="28"/>
  <c r="T47" i="28" s="1"/>
  <c r="F48" i="28"/>
  <c r="I48" i="28" s="1"/>
  <c r="K49" i="28"/>
  <c r="S49" i="28"/>
  <c r="J49" i="28"/>
  <c r="M49" i="28"/>
  <c r="A49" i="28"/>
  <c r="J50" i="15" l="1"/>
  <c r="H49" i="28"/>
  <c r="E50" i="28"/>
  <c r="G50" i="28" s="1"/>
  <c r="D50" i="28"/>
  <c r="L50" i="28"/>
  <c r="N49" i="28"/>
  <c r="O48" i="28"/>
  <c r="T48" i="28" s="1"/>
  <c r="J50" i="28"/>
  <c r="M50" i="28"/>
  <c r="S50" i="28"/>
  <c r="A50" i="28"/>
  <c r="K50" i="28"/>
  <c r="F49" i="28"/>
  <c r="I49" i="28" s="1"/>
  <c r="J51" i="15" l="1"/>
  <c r="H50" i="28"/>
  <c r="E51" i="28"/>
  <c r="G51" i="28" s="1"/>
  <c r="D51" i="28"/>
  <c r="L51" i="28"/>
  <c r="N50" i="28"/>
  <c r="O49" i="28"/>
  <c r="T49" i="28" s="1"/>
  <c r="A51" i="28"/>
  <c r="M51" i="28"/>
  <c r="S51" i="28"/>
  <c r="K51" i="28"/>
  <c r="J51" i="28"/>
  <c r="F50" i="28"/>
  <c r="I50" i="28" s="1"/>
  <c r="J52" i="15" l="1"/>
  <c r="H51" i="28"/>
  <c r="D52" i="28"/>
  <c r="E52" i="28"/>
  <c r="G52" i="28" s="1"/>
  <c r="L52" i="28"/>
  <c r="N51" i="28"/>
  <c r="O50" i="28"/>
  <c r="T50" i="28" s="1"/>
  <c r="M52" i="28"/>
  <c r="K52" i="28"/>
  <c r="A52" i="28"/>
  <c r="J52" i="28"/>
  <c r="S52" i="28"/>
  <c r="F51" i="28"/>
  <c r="I51" i="28" s="1"/>
  <c r="J53" i="15" l="1"/>
  <c r="H52" i="28"/>
  <c r="D53" i="28"/>
  <c r="E53" i="28"/>
  <c r="G53" i="28" s="1"/>
  <c r="L53" i="28"/>
  <c r="O51" i="28"/>
  <c r="T51" i="28" s="1"/>
  <c r="N52" i="28"/>
  <c r="F52" i="28"/>
  <c r="I52" i="28" s="1"/>
  <c r="K53" i="28"/>
  <c r="S53" i="28"/>
  <c r="M53" i="28"/>
  <c r="A53" i="28"/>
  <c r="J53" i="28"/>
  <c r="J54" i="15" l="1"/>
  <c r="H53" i="28"/>
  <c r="E54" i="28"/>
  <c r="G54" i="28" s="1"/>
  <c r="D54" i="28"/>
  <c r="L54" i="28"/>
  <c r="N53" i="28"/>
  <c r="O52" i="28"/>
  <c r="T52" i="28" s="1"/>
  <c r="J54" i="28"/>
  <c r="K54" i="28"/>
  <c r="M54" i="28"/>
  <c r="S54" i="28"/>
  <c r="A54" i="28"/>
  <c r="F53" i="28"/>
  <c r="I53" i="28" s="1"/>
  <c r="J55" i="15" l="1"/>
  <c r="H54" i="28"/>
  <c r="E55" i="28"/>
  <c r="G55" i="28" s="1"/>
  <c r="D55" i="28"/>
  <c r="L55" i="28"/>
  <c r="O53" i="28"/>
  <c r="T53" i="28" s="1"/>
  <c r="N54" i="28"/>
  <c r="M55" i="28"/>
  <c r="A55" i="28"/>
  <c r="S55" i="28"/>
  <c r="K55" i="28"/>
  <c r="J55" i="28"/>
  <c r="F54" i="28"/>
  <c r="I54" i="28" s="1"/>
  <c r="J56" i="15" l="1"/>
  <c r="H55" i="28"/>
  <c r="D56" i="28"/>
  <c r="E56" i="28"/>
  <c r="G56" i="28" s="1"/>
  <c r="L56" i="28"/>
  <c r="N55" i="28"/>
  <c r="O54" i="28"/>
  <c r="T54" i="28" s="1"/>
  <c r="F55" i="28"/>
  <c r="I55" i="28" s="1"/>
  <c r="S56" i="28"/>
  <c r="M56" i="28"/>
  <c r="K56" i="28"/>
  <c r="A56" i="28"/>
  <c r="J56" i="28"/>
  <c r="J57" i="15" l="1"/>
  <c r="H56" i="28"/>
  <c r="D57" i="28"/>
  <c r="E57" i="28"/>
  <c r="G57" i="28" s="1"/>
  <c r="L57" i="28"/>
  <c r="O55" i="28"/>
  <c r="T55" i="28" s="1"/>
  <c r="N56" i="28"/>
  <c r="F56" i="28"/>
  <c r="I56" i="28" s="1"/>
  <c r="K57" i="28"/>
  <c r="S57" i="28"/>
  <c r="M57" i="28"/>
  <c r="A57" i="28"/>
  <c r="J57" i="28"/>
  <c r="J58" i="15" l="1"/>
  <c r="H57" i="28"/>
  <c r="E58" i="28"/>
  <c r="G58" i="28" s="1"/>
  <c r="D58" i="28"/>
  <c r="L58" i="28"/>
  <c r="O56" i="28"/>
  <c r="T56" i="28" s="1"/>
  <c r="F57" i="28"/>
  <c r="I57" i="28" s="1"/>
  <c r="N57" i="28"/>
  <c r="J58" i="28"/>
  <c r="M58" i="28"/>
  <c r="S58" i="28"/>
  <c r="A58" i="28"/>
  <c r="K58" i="28"/>
  <c r="J59" i="15" l="1"/>
  <c r="H58" i="28"/>
  <c r="E59" i="28"/>
  <c r="G59" i="28" s="1"/>
  <c r="D59" i="28"/>
  <c r="L59" i="28"/>
  <c r="N58" i="28"/>
  <c r="O57" i="28"/>
  <c r="T57" i="28" s="1"/>
  <c r="A59" i="28"/>
  <c r="M59" i="28"/>
  <c r="K59" i="28"/>
  <c r="J59" i="28"/>
  <c r="S59" i="28"/>
  <c r="F58" i="28"/>
  <c r="I58" i="28" s="1"/>
  <c r="J60" i="15" l="1"/>
  <c r="H59" i="28"/>
  <c r="D60" i="28"/>
  <c r="E60" i="28"/>
  <c r="G60" i="28" s="1"/>
  <c r="L60" i="28"/>
  <c r="O58" i="28"/>
  <c r="T58" i="28" s="1"/>
  <c r="N59" i="28"/>
  <c r="S60" i="28"/>
  <c r="M60" i="28"/>
  <c r="K60" i="28"/>
  <c r="A60" i="28"/>
  <c r="J60" i="28"/>
  <c r="F59" i="28"/>
  <c r="I59" i="28" s="1"/>
  <c r="J61" i="15" l="1"/>
  <c r="H60" i="28"/>
  <c r="D61" i="28"/>
  <c r="E61" i="28"/>
  <c r="G61" i="28" s="1"/>
  <c r="L61" i="28"/>
  <c r="N60" i="28"/>
  <c r="O59" i="28"/>
  <c r="T59" i="28" s="1"/>
  <c r="K61" i="28"/>
  <c r="S61" i="28"/>
  <c r="M61" i="28"/>
  <c r="A61" i="28"/>
  <c r="J61" i="28"/>
  <c r="F60" i="28"/>
  <c r="I60" i="28" s="1"/>
  <c r="J62" i="15" l="1"/>
  <c r="H61" i="28"/>
  <c r="E62" i="28"/>
  <c r="G62" i="28" s="1"/>
  <c r="D62" i="28"/>
  <c r="L62" i="28"/>
  <c r="N61" i="28"/>
  <c r="O60" i="28"/>
  <c r="T60" i="28" s="1"/>
  <c r="J62" i="28"/>
  <c r="M62" i="28"/>
  <c r="S62" i="28"/>
  <c r="A62" i="28"/>
  <c r="K62" i="28"/>
  <c r="F61" i="28"/>
  <c r="I61" i="28" s="1"/>
  <c r="J63" i="15" l="1"/>
  <c r="H62" i="28"/>
  <c r="E63" i="28"/>
  <c r="G63" i="28" s="1"/>
  <c r="D63" i="28"/>
  <c r="L63" i="28"/>
  <c r="N62" i="28"/>
  <c r="O61" i="28"/>
  <c r="T61" i="28" s="1"/>
  <c r="F62" i="28"/>
  <c r="I62" i="28" s="1"/>
  <c r="M63" i="28"/>
  <c r="A63" i="28"/>
  <c r="S63" i="28"/>
  <c r="K63" i="28"/>
  <c r="J63" i="28"/>
  <c r="J64" i="15" l="1"/>
  <c r="H63" i="28"/>
  <c r="D64" i="28"/>
  <c r="E64" i="28"/>
  <c r="G64" i="28" s="1"/>
  <c r="L64" i="28"/>
  <c r="O62" i="28"/>
  <c r="T62" i="28" s="1"/>
  <c r="N63" i="28"/>
  <c r="F63" i="28"/>
  <c r="I63" i="28" s="1"/>
  <c r="K64" i="28"/>
  <c r="A64" i="28"/>
  <c r="J64" i="28"/>
  <c r="S64" i="28"/>
  <c r="M64" i="28"/>
  <c r="J65" i="15" l="1"/>
  <c r="H64" i="28"/>
  <c r="E65" i="28"/>
  <c r="G65" i="28" s="1"/>
  <c r="D65" i="28"/>
  <c r="L65" i="28"/>
  <c r="O63" i="28"/>
  <c r="T63" i="28" s="1"/>
  <c r="N64" i="28"/>
  <c r="F64" i="28"/>
  <c r="I64" i="28" s="1"/>
  <c r="K65" i="28"/>
  <c r="S65" i="28"/>
  <c r="M65" i="28"/>
  <c r="A65" i="28"/>
  <c r="J65" i="28"/>
  <c r="J66" i="15" l="1"/>
  <c r="H65" i="28"/>
  <c r="E66" i="28"/>
  <c r="G66" i="28" s="1"/>
  <c r="D66" i="28"/>
  <c r="L66" i="28"/>
  <c r="N65" i="28"/>
  <c r="F65" i="28"/>
  <c r="I65" i="28" s="1"/>
  <c r="O64" i="28"/>
  <c r="T64" i="28" s="1"/>
  <c r="J66" i="28"/>
  <c r="M66" i="28"/>
  <c r="S66" i="28"/>
  <c r="A66" i="28"/>
  <c r="K66" i="28"/>
  <c r="J67" i="15" l="1"/>
  <c r="H66" i="28"/>
  <c r="D67" i="28"/>
  <c r="E67" i="28"/>
  <c r="G67" i="28" s="1"/>
  <c r="L67" i="28"/>
  <c r="N66" i="28"/>
  <c r="O65" i="28"/>
  <c r="T65" i="28" s="1"/>
  <c r="F66" i="28"/>
  <c r="I66" i="28" s="1"/>
  <c r="A67" i="28"/>
  <c r="M67" i="28"/>
  <c r="S67" i="28"/>
  <c r="K67" i="28"/>
  <c r="J67" i="28"/>
  <c r="J68" i="15" l="1"/>
  <c r="H67" i="28"/>
  <c r="E68" i="28"/>
  <c r="G68" i="28" s="1"/>
  <c r="D68" i="28"/>
  <c r="L68" i="28"/>
  <c r="F67" i="28"/>
  <c r="I67" i="28" s="1"/>
  <c r="N67" i="28"/>
  <c r="O66" i="28"/>
  <c r="T66" i="28" s="1"/>
  <c r="S68" i="28"/>
  <c r="M68" i="28"/>
  <c r="K68" i="28"/>
  <c r="A68" i="28"/>
  <c r="J68" i="28"/>
  <c r="J69" i="15" l="1"/>
  <c r="H68" i="28"/>
  <c r="D69" i="28"/>
  <c r="E69" i="28"/>
  <c r="G69" i="28" s="1"/>
  <c r="L69" i="28"/>
  <c r="F68" i="28"/>
  <c r="I68" i="28" s="1"/>
  <c r="N68" i="28"/>
  <c r="O67" i="28"/>
  <c r="T67" i="28" s="1"/>
  <c r="K69" i="28"/>
  <c r="S69" i="28"/>
  <c r="A69" i="28"/>
  <c r="J69" i="28"/>
  <c r="M69" i="28"/>
  <c r="J70" i="15" l="1"/>
  <c r="H69" i="28"/>
  <c r="E70" i="28"/>
  <c r="G70" i="28" s="1"/>
  <c r="D70" i="28"/>
  <c r="L70" i="28"/>
  <c r="O68" i="28"/>
  <c r="T68" i="28" s="1"/>
  <c r="N69" i="28"/>
  <c r="F69" i="28"/>
  <c r="I69" i="28" s="1"/>
  <c r="J70" i="28"/>
  <c r="M70" i="28"/>
  <c r="S70" i="28"/>
  <c r="A70" i="28"/>
  <c r="K70" i="28"/>
  <c r="J71" i="15" l="1"/>
  <c r="H70" i="28"/>
  <c r="E71" i="28"/>
  <c r="G71" i="28" s="1"/>
  <c r="D71" i="28"/>
  <c r="L71" i="28"/>
  <c r="N70" i="28"/>
  <c r="O69" i="28"/>
  <c r="T69" i="28" s="1"/>
  <c r="F70" i="28"/>
  <c r="I70" i="28" s="1"/>
  <c r="M71" i="28"/>
  <c r="A71" i="28"/>
  <c r="J71" i="28"/>
  <c r="S71" i="28"/>
  <c r="K71" i="28"/>
  <c r="J72" i="15" l="1"/>
  <c r="J73" i="15"/>
  <c r="H71" i="28"/>
  <c r="E72" i="28"/>
  <c r="G72" i="28" s="1"/>
  <c r="D72" i="28"/>
  <c r="L72" i="28"/>
  <c r="N71" i="28"/>
  <c r="O70" i="28"/>
  <c r="T70" i="28" s="1"/>
  <c r="F71" i="28"/>
  <c r="I71" i="28" s="1"/>
  <c r="S72" i="28"/>
  <c r="M72" i="28"/>
  <c r="K72" i="28"/>
  <c r="A72" i="28"/>
  <c r="J72" i="28"/>
  <c r="H72" i="28" l="1"/>
  <c r="O71" i="28"/>
  <c r="T71" i="28" s="1"/>
  <c r="E73" i="28"/>
  <c r="G73" i="28" s="1"/>
  <c r="D73" i="28"/>
  <c r="H73" i="28" s="1"/>
  <c r="L73" i="28"/>
  <c r="N72" i="28"/>
  <c r="F72" i="28"/>
  <c r="I72" i="28" s="1"/>
  <c r="K73" i="28"/>
  <c r="S73" i="28"/>
  <c r="M73" i="28"/>
  <c r="A73" i="28"/>
  <c r="J73" i="28"/>
  <c r="E74" i="28" l="1"/>
  <c r="G74" i="28" s="1"/>
  <c r="D74" i="28"/>
  <c r="L74" i="28"/>
  <c r="N73" i="28"/>
  <c r="O72" i="28"/>
  <c r="T72" i="28" s="1"/>
  <c r="F73" i="28"/>
  <c r="I73" i="28" s="1"/>
  <c r="J74" i="28"/>
  <c r="S74" i="28"/>
  <c r="M74" i="28"/>
  <c r="A74" i="28"/>
  <c r="K74" i="28"/>
  <c r="H74" i="28" l="1"/>
  <c r="D75" i="28"/>
  <c r="E75" i="28"/>
  <c r="G75" i="28" s="1"/>
  <c r="L75" i="28"/>
  <c r="O73" i="28"/>
  <c r="T73" i="28" s="1"/>
  <c r="N74" i="28"/>
  <c r="F74" i="28"/>
  <c r="I74" i="28" s="1"/>
  <c r="A75" i="28"/>
  <c r="M75" i="28"/>
  <c r="K75" i="28"/>
  <c r="J75" i="28"/>
  <c r="S75" i="28"/>
  <c r="H75" i="28" l="1"/>
  <c r="E76" i="28"/>
  <c r="G76" i="28" s="1"/>
  <c r="D76" i="28"/>
  <c r="L76" i="28"/>
  <c r="N75" i="28"/>
  <c r="O74" i="28"/>
  <c r="T74" i="28" s="1"/>
  <c r="F75" i="28"/>
  <c r="I75" i="28" s="1"/>
  <c r="J76" i="28"/>
  <c r="M76" i="28"/>
  <c r="K76" i="28"/>
  <c r="S76" i="28"/>
  <c r="A76" i="28"/>
  <c r="H76" i="28" l="1"/>
  <c r="D77" i="28"/>
  <c r="E77" i="28"/>
  <c r="L77" i="28"/>
  <c r="N76" i="28"/>
  <c r="O75" i="28"/>
  <c r="T75" i="28" s="1"/>
  <c r="A77" i="28"/>
  <c r="M77" i="28"/>
  <c r="K77" i="28"/>
  <c r="S77" i="28"/>
  <c r="J77" i="28"/>
  <c r="F76" i="28"/>
  <c r="I76" i="28" s="1"/>
  <c r="H77" i="28" l="1"/>
  <c r="N77" i="28"/>
  <c r="W3" i="28"/>
  <c r="O76" i="28"/>
  <c r="T76" i="28" s="1"/>
  <c r="G77" i="28"/>
  <c r="F77" i="28"/>
  <c r="I77" i="28" s="1"/>
  <c r="O77" i="28" l="1"/>
  <c r="T77" i="28" s="1"/>
  <c r="C9" i="28" l="1"/>
  <c r="X2" i="13" l="1"/>
  <c r="W2" i="13"/>
  <c r="X1" i="13"/>
  <c r="W1" i="13"/>
  <c r="C18" i="13" l="1"/>
  <c r="T18" i="13" s="1"/>
  <c r="C6" i="23"/>
  <c r="B19" i="23" s="1"/>
  <c r="B20" i="23" l="1"/>
  <c r="C19" i="23"/>
  <c r="B21" i="23" l="1"/>
  <c r="C20" i="23"/>
  <c r="B22" i="23" l="1"/>
  <c r="C21" i="23"/>
  <c r="B23" i="23" l="1"/>
  <c r="C22" i="23"/>
  <c r="A78" i="23"/>
  <c r="B24" i="23" l="1"/>
  <c r="C23" i="23"/>
  <c r="A79" i="23"/>
  <c r="B25" i="23" l="1"/>
  <c r="C24" i="23"/>
  <c r="A80" i="23"/>
  <c r="B26" i="23" l="1"/>
  <c r="C25" i="23"/>
  <c r="A81" i="23"/>
  <c r="B27" i="23" l="1"/>
  <c r="C26" i="23"/>
  <c r="A82" i="23"/>
  <c r="B28" i="23" l="1"/>
  <c r="C27" i="23"/>
  <c r="C13" i="23"/>
  <c r="L17" i="23"/>
  <c r="B29" i="23" l="1"/>
  <c r="C28" i="23"/>
  <c r="E24" i="23"/>
  <c r="D23" i="23"/>
  <c r="E18" i="23"/>
  <c r="D29" i="23"/>
  <c r="E25" i="23"/>
  <c r="D24" i="23"/>
  <c r="D28" i="23"/>
  <c r="E22" i="23"/>
  <c r="D22" i="23"/>
  <c r="E26" i="23"/>
  <c r="D25" i="23"/>
  <c r="E20" i="23"/>
  <c r="D27" i="23"/>
  <c r="D19" i="23"/>
  <c r="E29" i="23"/>
  <c r="D18" i="23"/>
  <c r="E23" i="23"/>
  <c r="E27" i="23"/>
  <c r="E19" i="23"/>
  <c r="D26" i="23"/>
  <c r="E28" i="23"/>
  <c r="E21" i="23"/>
  <c r="D20" i="23"/>
  <c r="H20" i="23" s="1"/>
  <c r="D21" i="23"/>
  <c r="J17" i="9"/>
  <c r="B30" i="23" l="1"/>
  <c r="C29" i="23"/>
  <c r="H18" i="23"/>
  <c r="H26" i="23"/>
  <c r="H21" i="23"/>
  <c r="H22" i="23"/>
  <c r="H24" i="23"/>
  <c r="H25" i="23"/>
  <c r="H29" i="23"/>
  <c r="H19" i="23"/>
  <c r="H28" i="23"/>
  <c r="H27" i="23"/>
  <c r="H23" i="23"/>
  <c r="V1" i="23"/>
  <c r="W1" i="23"/>
  <c r="V2" i="23"/>
  <c r="W2" i="23"/>
  <c r="A18" i="23"/>
  <c r="C17" i="23"/>
  <c r="C8" i="23"/>
  <c r="C8" i="14"/>
  <c r="J18" i="1"/>
  <c r="B31" i="23" l="1"/>
  <c r="C30" i="23"/>
  <c r="D30" i="23"/>
  <c r="E30" i="23"/>
  <c r="S17" i="23"/>
  <c r="C11" i="23"/>
  <c r="B13" i="15"/>
  <c r="H30" i="23" l="1"/>
  <c r="B32" i="23"/>
  <c r="C31" i="23"/>
  <c r="D31" i="23"/>
  <c r="E31" i="23"/>
  <c r="H31" i="23" s="1"/>
  <c r="J13" i="15"/>
  <c r="N3" i="15"/>
  <c r="F18" i="23"/>
  <c r="I18" i="23" s="1"/>
  <c r="A19" i="23"/>
  <c r="A20" i="23"/>
  <c r="G18" i="23"/>
  <c r="C8" i="13"/>
  <c r="C8" i="1"/>
  <c r="C6" i="1"/>
  <c r="B19" i="1" s="1"/>
  <c r="C13" i="13"/>
  <c r="B33" i="23" l="1"/>
  <c r="C32" i="23"/>
  <c r="E32" i="23"/>
  <c r="D32" i="23"/>
  <c r="H32" i="23" s="1"/>
  <c r="C19" i="13"/>
  <c r="C11" i="1"/>
  <c r="C11" i="13"/>
  <c r="B20" i="1"/>
  <c r="B21" i="1" s="1"/>
  <c r="B22" i="1" s="1"/>
  <c r="B23" i="1" s="1"/>
  <c r="B24" i="1" s="1"/>
  <c r="B25" i="1" s="1"/>
  <c r="B26" i="1" s="1"/>
  <c r="B27" i="1" s="1"/>
  <c r="B28" i="1" s="1"/>
  <c r="B29" i="1" s="1"/>
  <c r="B30" i="1" s="1"/>
  <c r="B31" i="1" s="1"/>
  <c r="B32" i="1" s="1"/>
  <c r="B33" i="1" s="1"/>
  <c r="B34" i="1" s="1"/>
  <c r="B35" i="1" s="1"/>
  <c r="B36" i="1" s="1"/>
  <c r="B37" i="1" s="1"/>
  <c r="B38" i="1" s="1"/>
  <c r="B39" i="1" s="1"/>
  <c r="B40" i="1" s="1"/>
  <c r="B41" i="1" s="1"/>
  <c r="B42" i="1" s="1"/>
  <c r="B43" i="1" s="1"/>
  <c r="B44" i="1" s="1"/>
  <c r="B45" i="1" s="1"/>
  <c r="B46" i="1" s="1"/>
  <c r="B47" i="1" s="1"/>
  <c r="B48" i="1" s="1"/>
  <c r="B49" i="1" s="1"/>
  <c r="B50" i="1" s="1"/>
  <c r="B51" i="1" s="1"/>
  <c r="B52" i="1" s="1"/>
  <c r="B53" i="1" s="1"/>
  <c r="B54" i="1" s="1"/>
  <c r="B55" i="1" s="1"/>
  <c r="B56" i="1" s="1"/>
  <c r="B57" i="1" s="1"/>
  <c r="B58" i="1" s="1"/>
  <c r="B59" i="1" s="1"/>
  <c r="B60" i="1" s="1"/>
  <c r="B61" i="1" s="1"/>
  <c r="B62" i="1" s="1"/>
  <c r="B63" i="1" s="1"/>
  <c r="B64" i="1" s="1"/>
  <c r="B65" i="1" s="1"/>
  <c r="B66" i="1" s="1"/>
  <c r="B67" i="1" s="1"/>
  <c r="B68" i="1" s="1"/>
  <c r="B69" i="1" s="1"/>
  <c r="B70" i="1" s="1"/>
  <c r="B71" i="1" s="1"/>
  <c r="B72" i="1" s="1"/>
  <c r="B73" i="1" s="1"/>
  <c r="B74" i="1" s="1"/>
  <c r="B75" i="1" s="1"/>
  <c r="B76" i="1" s="1"/>
  <c r="B77" i="1" s="1"/>
  <c r="D18" i="1"/>
  <c r="E18" i="1"/>
  <c r="E18" i="13"/>
  <c r="D18" i="13"/>
  <c r="G19" i="23"/>
  <c r="F19" i="23"/>
  <c r="I19" i="23" s="1"/>
  <c r="B34" i="23" l="1"/>
  <c r="C33" i="23"/>
  <c r="D33" i="23"/>
  <c r="E33" i="23"/>
  <c r="H33" i="23" s="1"/>
  <c r="C20" i="13"/>
  <c r="H18" i="13"/>
  <c r="E19" i="13"/>
  <c r="D19" i="13"/>
  <c r="H18" i="1"/>
  <c r="T19" i="13"/>
  <c r="G20" i="23"/>
  <c r="M21" i="23"/>
  <c r="A21" i="23"/>
  <c r="F20" i="23"/>
  <c r="I20" i="23" s="1"/>
  <c r="C18" i="14"/>
  <c r="C17" i="14"/>
  <c r="C17" i="13"/>
  <c r="T17" i="13" s="1"/>
  <c r="C18" i="1"/>
  <c r="C19" i="1" s="1"/>
  <c r="C17" i="1"/>
  <c r="R17" i="1" s="1"/>
  <c r="C11" i="14"/>
  <c r="I20" i="9"/>
  <c r="J75" i="9"/>
  <c r="I76" i="9"/>
  <c r="I59" i="9"/>
  <c r="J58" i="9"/>
  <c r="J19" i="9"/>
  <c r="G8" i="15"/>
  <c r="B35" i="23" l="1"/>
  <c r="C34" i="23"/>
  <c r="E34" i="23"/>
  <c r="D34" i="23"/>
  <c r="H34" i="23"/>
  <c r="C23" i="14"/>
  <c r="C22" i="14"/>
  <c r="C20" i="14"/>
  <c r="C29" i="14"/>
  <c r="C21" i="14"/>
  <c r="C28" i="14"/>
  <c r="C27" i="14"/>
  <c r="C19" i="14"/>
  <c r="C24" i="14"/>
  <c r="C26" i="14"/>
  <c r="C25" i="14"/>
  <c r="C21" i="13"/>
  <c r="R18" i="1"/>
  <c r="C71" i="1"/>
  <c r="C63" i="1"/>
  <c r="C55" i="1"/>
  <c r="C47" i="1"/>
  <c r="C39" i="1"/>
  <c r="C31" i="1"/>
  <c r="C23" i="1"/>
  <c r="C46" i="1"/>
  <c r="C30" i="1"/>
  <c r="C20" i="1"/>
  <c r="C51" i="1"/>
  <c r="C64" i="1"/>
  <c r="C70" i="1"/>
  <c r="C62" i="1"/>
  <c r="C54" i="1"/>
  <c r="C38" i="1"/>
  <c r="C22" i="1"/>
  <c r="C59" i="1"/>
  <c r="C35" i="1"/>
  <c r="C48" i="1"/>
  <c r="C77" i="1"/>
  <c r="C69" i="1"/>
  <c r="C61" i="1"/>
  <c r="C53" i="1"/>
  <c r="C45" i="1"/>
  <c r="C37" i="1"/>
  <c r="C29" i="1"/>
  <c r="C21" i="1"/>
  <c r="C52" i="1"/>
  <c r="C36" i="1"/>
  <c r="C75" i="1"/>
  <c r="C43" i="1"/>
  <c r="C56" i="1"/>
  <c r="C24" i="1"/>
  <c r="C76" i="1"/>
  <c r="C68" i="1"/>
  <c r="C60" i="1"/>
  <c r="C44" i="1"/>
  <c r="C28" i="1"/>
  <c r="C67" i="1"/>
  <c r="C27" i="1"/>
  <c r="C40" i="1"/>
  <c r="C74" i="1"/>
  <c r="C66" i="1"/>
  <c r="C58" i="1"/>
  <c r="C50" i="1"/>
  <c r="C42" i="1"/>
  <c r="C34" i="1"/>
  <c r="C26" i="1"/>
  <c r="C73" i="1"/>
  <c r="C65" i="1"/>
  <c r="C57" i="1"/>
  <c r="C49" i="1"/>
  <c r="C41" i="1"/>
  <c r="C33" i="1"/>
  <c r="C25" i="1"/>
  <c r="C72" i="1"/>
  <c r="C32" i="1"/>
  <c r="H19" i="13"/>
  <c r="E20" i="13"/>
  <c r="D20" i="13"/>
  <c r="L24" i="14"/>
  <c r="L25" i="14"/>
  <c r="L26" i="14"/>
  <c r="L29" i="14"/>
  <c r="L19" i="14"/>
  <c r="L27" i="14"/>
  <c r="L20" i="14"/>
  <c r="L28" i="14"/>
  <c r="L22" i="14"/>
  <c r="L23" i="14"/>
  <c r="L21" i="14"/>
  <c r="L17" i="14"/>
  <c r="L18" i="14"/>
  <c r="M18" i="23"/>
  <c r="M19" i="23"/>
  <c r="M20" i="23"/>
  <c r="L17" i="1"/>
  <c r="L18" i="1"/>
  <c r="T20" i="13"/>
  <c r="G21" i="23"/>
  <c r="A22" i="23"/>
  <c r="M22" i="23"/>
  <c r="F21" i="23"/>
  <c r="I21" i="23" s="1"/>
  <c r="M17" i="23"/>
  <c r="K42" i="9"/>
  <c r="N17" i="13"/>
  <c r="N18" i="13"/>
  <c r="B36" i="23" l="1"/>
  <c r="C35" i="23"/>
  <c r="D35" i="23"/>
  <c r="E35" i="23"/>
  <c r="H35" i="23"/>
  <c r="C22" i="13"/>
  <c r="H20" i="13"/>
  <c r="E21" i="13"/>
  <c r="D21" i="13"/>
  <c r="G22" i="23"/>
  <c r="F22" i="23"/>
  <c r="I22" i="23" s="1"/>
  <c r="M23" i="23"/>
  <c r="A23" i="23"/>
  <c r="J74" i="9"/>
  <c r="J73" i="9"/>
  <c r="B37" i="23" l="1"/>
  <c r="C36" i="23"/>
  <c r="D36" i="23"/>
  <c r="E36" i="23"/>
  <c r="H36" i="23"/>
  <c r="C23" i="13"/>
  <c r="H21" i="13"/>
  <c r="E22" i="13"/>
  <c r="D22" i="13"/>
  <c r="K18" i="14"/>
  <c r="K21" i="14"/>
  <c r="K22" i="14"/>
  <c r="K23" i="14"/>
  <c r="K24" i="14"/>
  <c r="K20" i="14"/>
  <c r="K25" i="14"/>
  <c r="K26" i="14"/>
  <c r="K28" i="14"/>
  <c r="K19" i="14"/>
  <c r="K27" i="14"/>
  <c r="J19" i="14"/>
  <c r="J20" i="14"/>
  <c r="J28" i="14"/>
  <c r="J21" i="14"/>
  <c r="J29" i="14"/>
  <c r="J22" i="14"/>
  <c r="J25" i="14"/>
  <c r="J23" i="14"/>
  <c r="J26" i="14"/>
  <c r="J24" i="14"/>
  <c r="J27" i="14"/>
  <c r="T21" i="13"/>
  <c r="G23" i="23"/>
  <c r="M24" i="23"/>
  <c r="A24" i="23"/>
  <c r="F23" i="23"/>
  <c r="I23" i="23" s="1"/>
  <c r="K17" i="14"/>
  <c r="K29" i="14"/>
  <c r="J17" i="14"/>
  <c r="J18" i="14"/>
  <c r="I18" i="14"/>
  <c r="G18" i="14"/>
  <c r="B19" i="14"/>
  <c r="B38" i="23" l="1"/>
  <c r="C37" i="23"/>
  <c r="E37" i="23"/>
  <c r="D37" i="23"/>
  <c r="H37" i="23" s="1"/>
  <c r="C24" i="13"/>
  <c r="H22" i="13"/>
  <c r="M18" i="14"/>
  <c r="E23" i="13"/>
  <c r="D23" i="13"/>
  <c r="T22" i="13"/>
  <c r="G24" i="23"/>
  <c r="M25" i="23"/>
  <c r="A25" i="23"/>
  <c r="F24" i="23"/>
  <c r="I24" i="23" s="1"/>
  <c r="G18" i="13"/>
  <c r="G19" i="13" s="1"/>
  <c r="G20" i="13" s="1"/>
  <c r="G21" i="13" s="1"/>
  <c r="G22" i="13" s="1"/>
  <c r="N19" i="13"/>
  <c r="F18" i="13"/>
  <c r="I18" i="13" s="1"/>
  <c r="F18" i="14"/>
  <c r="H18" i="14"/>
  <c r="B20" i="14"/>
  <c r="B39" i="23" l="1"/>
  <c r="C38" i="23"/>
  <c r="D38" i="23"/>
  <c r="E38" i="23"/>
  <c r="H38" i="23"/>
  <c r="C25" i="13"/>
  <c r="H23" i="13"/>
  <c r="D24" i="13"/>
  <c r="E24" i="13"/>
  <c r="L20" i="23"/>
  <c r="T23" i="13"/>
  <c r="G25" i="23"/>
  <c r="M26" i="23"/>
  <c r="A26" i="23"/>
  <c r="L26" i="23" s="1"/>
  <c r="F25" i="23"/>
  <c r="I25" i="23" s="1"/>
  <c r="F19" i="13"/>
  <c r="I19" i="13" s="1"/>
  <c r="G23" i="13"/>
  <c r="N20" i="13"/>
  <c r="M19" i="14"/>
  <c r="H19" i="14"/>
  <c r="F19" i="14"/>
  <c r="I19" i="14"/>
  <c r="B21" i="14"/>
  <c r="G19" i="14"/>
  <c r="B40" i="23" l="1"/>
  <c r="C39" i="23"/>
  <c r="D39" i="23"/>
  <c r="E39" i="23"/>
  <c r="H39" i="23" s="1"/>
  <c r="C26" i="13"/>
  <c r="H24" i="13"/>
  <c r="E25" i="13"/>
  <c r="D25" i="13"/>
  <c r="L21" i="23"/>
  <c r="L24" i="23"/>
  <c r="L22" i="23"/>
  <c r="L18" i="23"/>
  <c r="L19" i="23"/>
  <c r="L23" i="23"/>
  <c r="L25" i="23"/>
  <c r="T24" i="13"/>
  <c r="G26" i="23"/>
  <c r="A27" i="23"/>
  <c r="L27" i="23" s="1"/>
  <c r="M27" i="23"/>
  <c r="F26" i="23"/>
  <c r="I26" i="23" s="1"/>
  <c r="G24" i="13"/>
  <c r="F20" i="13"/>
  <c r="I20" i="13" s="1"/>
  <c r="N21" i="13"/>
  <c r="M20" i="14"/>
  <c r="N19" i="14"/>
  <c r="S19" i="14" s="1"/>
  <c r="G20" i="14"/>
  <c r="F20" i="14"/>
  <c r="H20" i="14"/>
  <c r="I20" i="14"/>
  <c r="B22" i="14"/>
  <c r="B41" i="23" l="1"/>
  <c r="C40" i="23"/>
  <c r="E40" i="23"/>
  <c r="D40" i="23"/>
  <c r="H40" i="23" s="1"/>
  <c r="C27" i="13"/>
  <c r="H25" i="13"/>
  <c r="E26" i="13"/>
  <c r="D26" i="13"/>
  <c r="I38" i="9"/>
  <c r="T25" i="13"/>
  <c r="G27" i="23"/>
  <c r="M28" i="23"/>
  <c r="A28" i="23"/>
  <c r="L28" i="23" s="1"/>
  <c r="F27" i="23"/>
  <c r="I27" i="23" s="1"/>
  <c r="G25" i="13"/>
  <c r="F21" i="13"/>
  <c r="I21" i="13" s="1"/>
  <c r="N22" i="13"/>
  <c r="M21" i="14"/>
  <c r="I21" i="14"/>
  <c r="F21" i="14"/>
  <c r="G21" i="14"/>
  <c r="N20" i="14"/>
  <c r="S20" i="14" s="1"/>
  <c r="B23" i="14"/>
  <c r="H21" i="14"/>
  <c r="B42" i="23" l="1"/>
  <c r="C41" i="23"/>
  <c r="D41" i="23"/>
  <c r="H41" i="23" s="1"/>
  <c r="E41" i="23"/>
  <c r="C28" i="13"/>
  <c r="H26" i="13"/>
  <c r="E27" i="13"/>
  <c r="D27" i="13"/>
  <c r="T26" i="13"/>
  <c r="G28" i="23"/>
  <c r="A29" i="23"/>
  <c r="L29" i="23" s="1"/>
  <c r="M29" i="23"/>
  <c r="F28" i="23"/>
  <c r="I28" i="23" s="1"/>
  <c r="F22" i="13"/>
  <c r="I22" i="13" s="1"/>
  <c r="G26" i="13"/>
  <c r="N23" i="13"/>
  <c r="F22" i="14"/>
  <c r="M22" i="14"/>
  <c r="H22" i="14"/>
  <c r="N21" i="14"/>
  <c r="S21" i="14" s="1"/>
  <c r="I22" i="14"/>
  <c r="G22" i="14"/>
  <c r="B24" i="14"/>
  <c r="B43" i="23" l="1"/>
  <c r="C42" i="23"/>
  <c r="E42" i="23"/>
  <c r="D42" i="23"/>
  <c r="H42" i="23" s="1"/>
  <c r="H27" i="13"/>
  <c r="C29" i="13"/>
  <c r="E28" i="13"/>
  <c r="D28" i="13"/>
  <c r="T27" i="13"/>
  <c r="G29" i="23"/>
  <c r="M30" i="23"/>
  <c r="A30" i="23"/>
  <c r="L30" i="23" s="1"/>
  <c r="F29" i="23"/>
  <c r="I29" i="23" s="1"/>
  <c r="G27" i="13"/>
  <c r="F23" i="13"/>
  <c r="I23" i="13" s="1"/>
  <c r="N24" i="13"/>
  <c r="M23" i="14"/>
  <c r="N22" i="14"/>
  <c r="S22" i="14" s="1"/>
  <c r="I23" i="14"/>
  <c r="F23" i="14"/>
  <c r="H23" i="14"/>
  <c r="B25" i="14"/>
  <c r="G23" i="14"/>
  <c r="B44" i="23" l="1"/>
  <c r="C43" i="23"/>
  <c r="E43" i="23"/>
  <c r="H43" i="23" s="1"/>
  <c r="D43" i="23"/>
  <c r="C30" i="13"/>
  <c r="H28" i="13"/>
  <c r="E29" i="13"/>
  <c r="D29" i="13"/>
  <c r="T28" i="13"/>
  <c r="G30" i="23"/>
  <c r="A31" i="23"/>
  <c r="L31" i="23" s="1"/>
  <c r="F30" i="23"/>
  <c r="I30" i="23" s="1"/>
  <c r="M31" i="23"/>
  <c r="G28" i="13"/>
  <c r="F24" i="13"/>
  <c r="I24" i="13" s="1"/>
  <c r="N25" i="13"/>
  <c r="N23" i="14"/>
  <c r="S23" i="14" s="1"/>
  <c r="M24" i="14"/>
  <c r="I24" i="14"/>
  <c r="G24" i="14"/>
  <c r="H24" i="14"/>
  <c r="F24" i="14"/>
  <c r="B26" i="14"/>
  <c r="B45" i="23" l="1"/>
  <c r="C44" i="23"/>
  <c r="D44" i="23"/>
  <c r="H44" i="23" s="1"/>
  <c r="E44" i="23"/>
  <c r="C31" i="13"/>
  <c r="H29" i="13"/>
  <c r="E30" i="13"/>
  <c r="D30" i="13"/>
  <c r="T29" i="13"/>
  <c r="G31" i="23"/>
  <c r="F31" i="23"/>
  <c r="I31" i="23" s="1"/>
  <c r="A32" i="23"/>
  <c r="L32" i="23" s="1"/>
  <c r="M32" i="23"/>
  <c r="G29" i="13"/>
  <c r="F25" i="13"/>
  <c r="I25" i="13" s="1"/>
  <c r="N26" i="13"/>
  <c r="I25" i="14"/>
  <c r="M25" i="14"/>
  <c r="N24" i="14"/>
  <c r="S24" i="14" s="1"/>
  <c r="G25" i="14"/>
  <c r="F25" i="14"/>
  <c r="H25" i="14"/>
  <c r="B27" i="14"/>
  <c r="B46" i="23" l="1"/>
  <c r="C45" i="23"/>
  <c r="E45" i="23"/>
  <c r="D45" i="23"/>
  <c r="H45" i="23" s="1"/>
  <c r="C32" i="13"/>
  <c r="H30" i="13"/>
  <c r="E31" i="13"/>
  <c r="D31" i="13"/>
  <c r="T30" i="13"/>
  <c r="G32" i="23"/>
  <c r="M33" i="23"/>
  <c r="A33" i="23"/>
  <c r="L33" i="23" s="1"/>
  <c r="F32" i="23"/>
  <c r="I32" i="23" s="1"/>
  <c r="G30" i="13"/>
  <c r="F26" i="13"/>
  <c r="I26" i="13" s="1"/>
  <c r="N27" i="13"/>
  <c r="I26" i="14"/>
  <c r="M26" i="14"/>
  <c r="N25" i="14"/>
  <c r="S25" i="14" s="1"/>
  <c r="G26" i="14"/>
  <c r="H26" i="14"/>
  <c r="F26" i="14"/>
  <c r="B28" i="14"/>
  <c r="B47" i="23" l="1"/>
  <c r="C46" i="23"/>
  <c r="D46" i="23"/>
  <c r="E46" i="23"/>
  <c r="H46" i="23" s="1"/>
  <c r="C33" i="13"/>
  <c r="H31" i="13"/>
  <c r="D32" i="13"/>
  <c r="E32" i="13"/>
  <c r="T31" i="13"/>
  <c r="G33" i="23"/>
  <c r="M34" i="23"/>
  <c r="A34" i="23"/>
  <c r="L34" i="23" s="1"/>
  <c r="F33" i="23"/>
  <c r="I33" i="23" s="1"/>
  <c r="F27" i="13"/>
  <c r="I27" i="13" s="1"/>
  <c r="G31" i="13"/>
  <c r="N28" i="13"/>
  <c r="I27" i="14"/>
  <c r="M27" i="14"/>
  <c r="N26" i="14"/>
  <c r="S26" i="14" s="1"/>
  <c r="H27" i="14"/>
  <c r="F27" i="14"/>
  <c r="G27" i="14"/>
  <c r="B29" i="14"/>
  <c r="B48" i="23" l="1"/>
  <c r="C47" i="23"/>
  <c r="E47" i="23"/>
  <c r="D47" i="23"/>
  <c r="H47" i="23" s="1"/>
  <c r="C34" i="13"/>
  <c r="H32" i="13"/>
  <c r="E33" i="13"/>
  <c r="D33" i="13"/>
  <c r="T32" i="13"/>
  <c r="G34" i="23"/>
  <c r="A35" i="23"/>
  <c r="L35" i="23" s="1"/>
  <c r="M35" i="23"/>
  <c r="F34" i="23"/>
  <c r="I34" i="23" s="1"/>
  <c r="G32" i="13"/>
  <c r="F28" i="13"/>
  <c r="I28" i="13" s="1"/>
  <c r="N29" i="13"/>
  <c r="I28" i="14"/>
  <c r="M28" i="14"/>
  <c r="N27" i="14"/>
  <c r="S27" i="14" s="1"/>
  <c r="C9" i="14"/>
  <c r="G28" i="14"/>
  <c r="F28" i="14"/>
  <c r="H28" i="14"/>
  <c r="B49" i="23" l="1"/>
  <c r="C48" i="23"/>
  <c r="E48" i="23"/>
  <c r="D48" i="23"/>
  <c r="H48" i="23" s="1"/>
  <c r="C35" i="13"/>
  <c r="H33" i="13"/>
  <c r="E34" i="13"/>
  <c r="D34" i="13"/>
  <c r="T33" i="13"/>
  <c r="G35" i="23"/>
  <c r="A36" i="23"/>
  <c r="L36" i="23" s="1"/>
  <c r="M36" i="23"/>
  <c r="F35" i="23"/>
  <c r="I35" i="23" s="1"/>
  <c r="G33" i="13"/>
  <c r="F29" i="13"/>
  <c r="I29" i="13" s="1"/>
  <c r="N30" i="13"/>
  <c r="I29" i="14"/>
  <c r="N28" i="14"/>
  <c r="S28" i="14" s="1"/>
  <c r="G29" i="14"/>
  <c r="F29" i="14"/>
  <c r="H29" i="14"/>
  <c r="B50" i="23" l="1"/>
  <c r="C49" i="23"/>
  <c r="E49" i="23"/>
  <c r="D49" i="23"/>
  <c r="H49" i="23" s="1"/>
  <c r="C36" i="13"/>
  <c r="H34" i="13"/>
  <c r="E35" i="13"/>
  <c r="D35" i="13"/>
  <c r="T34" i="13"/>
  <c r="G36" i="23"/>
  <c r="A37" i="23"/>
  <c r="L37" i="23" s="1"/>
  <c r="M37" i="23"/>
  <c r="F36" i="23"/>
  <c r="I36" i="23" s="1"/>
  <c r="G34" i="13"/>
  <c r="F30" i="13"/>
  <c r="I30" i="13" s="1"/>
  <c r="N31" i="13"/>
  <c r="B51" i="23" l="1"/>
  <c r="C50" i="23"/>
  <c r="D50" i="23"/>
  <c r="E50" i="23"/>
  <c r="H50" i="23"/>
  <c r="C37" i="13"/>
  <c r="H35" i="13"/>
  <c r="E36" i="13"/>
  <c r="D36" i="13"/>
  <c r="T35" i="13"/>
  <c r="G37" i="23"/>
  <c r="M38" i="23"/>
  <c r="A38" i="23"/>
  <c r="L38" i="23" s="1"/>
  <c r="F37" i="23"/>
  <c r="I37" i="23" s="1"/>
  <c r="G35" i="13"/>
  <c r="F31" i="13"/>
  <c r="I31" i="13" s="1"/>
  <c r="N32" i="13"/>
  <c r="B52" i="23" l="1"/>
  <c r="C51" i="23"/>
  <c r="D51" i="23"/>
  <c r="E51" i="23"/>
  <c r="H51" i="23"/>
  <c r="H36" i="13"/>
  <c r="C38" i="13"/>
  <c r="E37" i="13"/>
  <c r="D37" i="13"/>
  <c r="T36" i="13"/>
  <c r="G38" i="23"/>
  <c r="M39" i="23"/>
  <c r="A39" i="23"/>
  <c r="L39" i="23" s="1"/>
  <c r="F38" i="23"/>
  <c r="I38" i="23" s="1"/>
  <c r="F32" i="13"/>
  <c r="I32" i="13" s="1"/>
  <c r="G36" i="13"/>
  <c r="N33" i="13"/>
  <c r="B53" i="23" l="1"/>
  <c r="C52" i="23"/>
  <c r="E52" i="23"/>
  <c r="D52" i="23"/>
  <c r="H52" i="23" s="1"/>
  <c r="C39" i="13"/>
  <c r="H37" i="13"/>
  <c r="E38" i="13"/>
  <c r="D38" i="13"/>
  <c r="T37" i="13"/>
  <c r="G39" i="23"/>
  <c r="M40" i="23"/>
  <c r="A40" i="23"/>
  <c r="L40" i="23" s="1"/>
  <c r="J40" i="23"/>
  <c r="F39" i="23"/>
  <c r="I39" i="23" s="1"/>
  <c r="G37" i="13"/>
  <c r="F33" i="13"/>
  <c r="I33" i="13" s="1"/>
  <c r="N34" i="13"/>
  <c r="J55" i="9"/>
  <c r="J56" i="9"/>
  <c r="J57" i="9"/>
  <c r="J54" i="9"/>
  <c r="J18" i="9"/>
  <c r="J17" i="1"/>
  <c r="B54" i="23" l="1"/>
  <c r="C53" i="23"/>
  <c r="E53" i="23"/>
  <c r="D53" i="23"/>
  <c r="H53" i="23"/>
  <c r="C40" i="13"/>
  <c r="H38" i="13"/>
  <c r="E39" i="13"/>
  <c r="D39" i="13"/>
  <c r="K18" i="23"/>
  <c r="K20" i="23"/>
  <c r="K19" i="23"/>
  <c r="K21" i="23"/>
  <c r="K22" i="23"/>
  <c r="K23" i="23"/>
  <c r="K24" i="23"/>
  <c r="K25" i="23"/>
  <c r="K26" i="23"/>
  <c r="K27" i="23"/>
  <c r="K28" i="23"/>
  <c r="K29" i="23"/>
  <c r="K30" i="23"/>
  <c r="K31" i="23"/>
  <c r="K32" i="23"/>
  <c r="K33" i="23"/>
  <c r="K34" i="23"/>
  <c r="K35" i="23"/>
  <c r="K36" i="23"/>
  <c r="K37" i="23"/>
  <c r="K38" i="23"/>
  <c r="K39" i="23"/>
  <c r="K40" i="23"/>
  <c r="N40" i="23" s="1"/>
  <c r="J18" i="23"/>
  <c r="N18" i="23" s="1"/>
  <c r="O18" i="23" s="1"/>
  <c r="J19" i="23"/>
  <c r="J20" i="23"/>
  <c r="J21" i="23"/>
  <c r="N21" i="23" s="1"/>
  <c r="O21" i="23" s="1"/>
  <c r="J22" i="23"/>
  <c r="J23" i="23"/>
  <c r="J24" i="23"/>
  <c r="J25" i="23"/>
  <c r="J26" i="23"/>
  <c r="J27" i="23"/>
  <c r="J28" i="23"/>
  <c r="J29" i="23"/>
  <c r="N29" i="23" s="1"/>
  <c r="O29" i="23" s="1"/>
  <c r="J30" i="23"/>
  <c r="J31" i="23"/>
  <c r="J32" i="23"/>
  <c r="J33" i="23"/>
  <c r="J34" i="23"/>
  <c r="J35" i="23"/>
  <c r="J36" i="23"/>
  <c r="J37" i="23"/>
  <c r="N37" i="23" s="1"/>
  <c r="O37" i="23" s="1"/>
  <c r="J38" i="23"/>
  <c r="J39" i="23"/>
  <c r="K17" i="1"/>
  <c r="M17" i="1" s="1"/>
  <c r="K18" i="1"/>
  <c r="M18" i="1" s="1"/>
  <c r="N18" i="1" s="1"/>
  <c r="T38" i="13"/>
  <c r="G40" i="23"/>
  <c r="K41" i="23"/>
  <c r="A41" i="23"/>
  <c r="L41" i="23" s="1"/>
  <c r="J41" i="23"/>
  <c r="F40" i="23"/>
  <c r="I40" i="23" s="1"/>
  <c r="M41" i="23"/>
  <c r="G38" i="13"/>
  <c r="F34" i="13"/>
  <c r="I34" i="13" s="1"/>
  <c r="M17" i="13"/>
  <c r="K17" i="23"/>
  <c r="O17" i="23" s="1"/>
  <c r="M18" i="13"/>
  <c r="M19" i="13"/>
  <c r="N35" i="13"/>
  <c r="K36" i="13"/>
  <c r="M22" i="13"/>
  <c r="M31" i="13"/>
  <c r="M23" i="13"/>
  <c r="M32" i="13"/>
  <c r="M30" i="13"/>
  <c r="M24" i="13"/>
  <c r="M33" i="13"/>
  <c r="M25" i="13"/>
  <c r="M34" i="13"/>
  <c r="M26" i="13"/>
  <c r="M35" i="13"/>
  <c r="M27" i="13"/>
  <c r="M21" i="13"/>
  <c r="M20" i="13"/>
  <c r="M28" i="13"/>
  <c r="L19" i="13"/>
  <c r="L27" i="13"/>
  <c r="L20" i="13"/>
  <c r="L28" i="13"/>
  <c r="L21" i="13"/>
  <c r="L30" i="13"/>
  <c r="L22" i="13"/>
  <c r="L31" i="13"/>
  <c r="L25" i="13"/>
  <c r="L23" i="13"/>
  <c r="L32" i="13"/>
  <c r="L24" i="13"/>
  <c r="L26" i="13"/>
  <c r="L35" i="13"/>
  <c r="L33" i="13"/>
  <c r="L34" i="13"/>
  <c r="K24" i="13"/>
  <c r="K33" i="13"/>
  <c r="K25" i="13"/>
  <c r="K34" i="13"/>
  <c r="K26" i="13"/>
  <c r="K35" i="13"/>
  <c r="K32" i="13"/>
  <c r="K19" i="13"/>
  <c r="K27" i="13"/>
  <c r="K20" i="13"/>
  <c r="K28" i="13"/>
  <c r="K21" i="13"/>
  <c r="K30" i="13"/>
  <c r="K22" i="13"/>
  <c r="K31" i="13"/>
  <c r="K23" i="13"/>
  <c r="J21" i="13"/>
  <c r="J30" i="13"/>
  <c r="J22" i="13"/>
  <c r="J31" i="13"/>
  <c r="J23" i="13"/>
  <c r="J32" i="13"/>
  <c r="J24" i="13"/>
  <c r="J33" i="13"/>
  <c r="J25" i="13"/>
  <c r="J34" i="13"/>
  <c r="J19" i="13"/>
  <c r="J26" i="13"/>
  <c r="J35" i="13"/>
  <c r="J27" i="13"/>
  <c r="J20" i="13"/>
  <c r="J28" i="13"/>
  <c r="M29" i="13"/>
  <c r="L29" i="13"/>
  <c r="K29" i="13"/>
  <c r="J29" i="13"/>
  <c r="L17" i="13"/>
  <c r="L18" i="13"/>
  <c r="K17" i="13"/>
  <c r="K18" i="13"/>
  <c r="J17" i="13"/>
  <c r="J18" i="13"/>
  <c r="B55" i="23" l="1"/>
  <c r="C54" i="23"/>
  <c r="D54" i="23"/>
  <c r="E54" i="23"/>
  <c r="H54" i="23"/>
  <c r="C41" i="13"/>
  <c r="H39" i="13"/>
  <c r="N38" i="23"/>
  <c r="O38" i="23" s="1"/>
  <c r="N30" i="23"/>
  <c r="O30" i="23" s="1"/>
  <c r="N22" i="23"/>
  <c r="O22" i="23" s="1"/>
  <c r="N33" i="23"/>
  <c r="O33" i="23" s="1"/>
  <c r="N25" i="23"/>
  <c r="O25" i="23" s="1"/>
  <c r="N32" i="23"/>
  <c r="O32" i="23" s="1"/>
  <c r="N24" i="23"/>
  <c r="O24" i="23" s="1"/>
  <c r="N39" i="23"/>
  <c r="O39" i="23" s="1"/>
  <c r="N31" i="23"/>
  <c r="O31" i="23" s="1"/>
  <c r="N23" i="23"/>
  <c r="O23" i="23" s="1"/>
  <c r="D40" i="13"/>
  <c r="E40" i="13"/>
  <c r="D19" i="1"/>
  <c r="E19" i="1"/>
  <c r="N20" i="23"/>
  <c r="O20" i="23" s="1"/>
  <c r="N35" i="23"/>
  <c r="O35" i="23" s="1"/>
  <c r="N27" i="23"/>
  <c r="O27" i="23" s="1"/>
  <c r="N34" i="23"/>
  <c r="O34" i="23" s="1"/>
  <c r="N26" i="23"/>
  <c r="O26" i="23" s="1"/>
  <c r="N36" i="23"/>
  <c r="O36" i="23" s="1"/>
  <c r="N28" i="23"/>
  <c r="O28" i="23" s="1"/>
  <c r="N19" i="23"/>
  <c r="O19" i="23" s="1"/>
  <c r="R19" i="1"/>
  <c r="T39" i="13"/>
  <c r="G41" i="23"/>
  <c r="K42" i="23"/>
  <c r="O40" i="23"/>
  <c r="A42" i="23"/>
  <c r="L42" i="23" s="1"/>
  <c r="N41" i="23"/>
  <c r="F41" i="23"/>
  <c r="I41" i="23" s="1"/>
  <c r="M42" i="23"/>
  <c r="J42" i="23"/>
  <c r="F35" i="13"/>
  <c r="I35" i="13" s="1"/>
  <c r="G39" i="13"/>
  <c r="N17" i="23"/>
  <c r="J36" i="13"/>
  <c r="J19" i="1"/>
  <c r="K19" i="1"/>
  <c r="L19" i="1"/>
  <c r="J37" i="13"/>
  <c r="L36" i="13"/>
  <c r="N36" i="13"/>
  <c r="M36" i="13"/>
  <c r="O35" i="13"/>
  <c r="P35" i="13" s="1"/>
  <c r="U35" i="13" s="1"/>
  <c r="N37" i="13"/>
  <c r="K37" i="13"/>
  <c r="L37" i="13"/>
  <c r="M37" i="13"/>
  <c r="N17" i="1"/>
  <c r="S17" i="1" s="1"/>
  <c r="F18" i="1"/>
  <c r="G18" i="1"/>
  <c r="O20" i="13"/>
  <c r="P20" i="13" s="1"/>
  <c r="U20" i="13" s="1"/>
  <c r="O31" i="13"/>
  <c r="P31" i="13" s="1"/>
  <c r="U31" i="13" s="1"/>
  <c r="O22" i="13"/>
  <c r="P22" i="13" s="1"/>
  <c r="U22" i="13" s="1"/>
  <c r="O27" i="13"/>
  <c r="P27" i="13" s="1"/>
  <c r="U27" i="13" s="1"/>
  <c r="O24" i="13"/>
  <c r="P24" i="13" s="1"/>
  <c r="U24" i="13" s="1"/>
  <c r="O23" i="13"/>
  <c r="P23" i="13" s="1"/>
  <c r="U23" i="13" s="1"/>
  <c r="O28" i="13"/>
  <c r="P28" i="13" s="1"/>
  <c r="U28" i="13" s="1"/>
  <c r="O33" i="13"/>
  <c r="P33" i="13" s="1"/>
  <c r="U33" i="13" s="1"/>
  <c r="O19" i="13"/>
  <c r="P19" i="13" s="1"/>
  <c r="U19" i="13" s="1"/>
  <c r="O26" i="13"/>
  <c r="P26" i="13" s="1"/>
  <c r="U26" i="13" s="1"/>
  <c r="O18" i="13"/>
  <c r="P18" i="13" s="1"/>
  <c r="U18" i="13" s="1"/>
  <c r="O25" i="13"/>
  <c r="P25" i="13" s="1"/>
  <c r="U25" i="13" s="1"/>
  <c r="O34" i="13"/>
  <c r="P34" i="13" s="1"/>
  <c r="U34" i="13" s="1"/>
  <c r="O32" i="13"/>
  <c r="P32" i="13" s="1"/>
  <c r="U32" i="13" s="1"/>
  <c r="O30" i="13"/>
  <c r="P30" i="13" s="1"/>
  <c r="U30" i="13" s="1"/>
  <c r="O21" i="13"/>
  <c r="P21" i="13" s="1"/>
  <c r="U21" i="13" s="1"/>
  <c r="O29" i="13"/>
  <c r="P29" i="13" s="1"/>
  <c r="U29" i="13" s="1"/>
  <c r="M29" i="14"/>
  <c r="N29" i="14" s="1"/>
  <c r="S29" i="14" s="1"/>
  <c r="M17" i="14"/>
  <c r="O17" i="13"/>
  <c r="N18" i="14"/>
  <c r="S18" i="14" s="1"/>
  <c r="I18" i="1"/>
  <c r="B56" i="23" l="1"/>
  <c r="C55" i="23"/>
  <c r="E55" i="23"/>
  <c r="D55" i="23"/>
  <c r="H55" i="23" s="1"/>
  <c r="C42" i="13"/>
  <c r="H40" i="13"/>
  <c r="D20" i="1"/>
  <c r="E20" i="1"/>
  <c r="H19" i="1"/>
  <c r="E41" i="13"/>
  <c r="D41" i="13"/>
  <c r="T40" i="13"/>
  <c r="G42" i="23"/>
  <c r="T17" i="23"/>
  <c r="O41" i="23"/>
  <c r="J43" i="23"/>
  <c r="K43" i="23"/>
  <c r="N42" i="23"/>
  <c r="F42" i="23"/>
  <c r="I42" i="23" s="1"/>
  <c r="M43" i="23"/>
  <c r="A43" i="23"/>
  <c r="L43" i="23" s="1"/>
  <c r="G40" i="13"/>
  <c r="F36" i="13"/>
  <c r="I36" i="13" s="1"/>
  <c r="L20" i="1"/>
  <c r="J20" i="1"/>
  <c r="K20" i="1"/>
  <c r="N17" i="14"/>
  <c r="S17" i="14" s="1"/>
  <c r="F6" i="14" s="1"/>
  <c r="C10" i="14"/>
  <c r="M19" i="1"/>
  <c r="O36" i="13"/>
  <c r="P36" i="13" s="1"/>
  <c r="U36" i="13" s="1"/>
  <c r="N38" i="13"/>
  <c r="M38" i="13"/>
  <c r="L38" i="13"/>
  <c r="K38" i="13"/>
  <c r="J38" i="13"/>
  <c r="R20" i="1"/>
  <c r="P17" i="13"/>
  <c r="U17" i="13" s="1"/>
  <c r="O37" i="13"/>
  <c r="P37" i="13" s="1"/>
  <c r="U37" i="13" s="1"/>
  <c r="B57" i="23" l="1"/>
  <c r="C56" i="23"/>
  <c r="E56" i="23"/>
  <c r="D56" i="23"/>
  <c r="H56" i="23" s="1"/>
  <c r="C43" i="13"/>
  <c r="N19" i="1"/>
  <c r="H41" i="13"/>
  <c r="E42" i="13"/>
  <c r="D42" i="13"/>
  <c r="D21" i="1"/>
  <c r="E21" i="1"/>
  <c r="H20" i="1"/>
  <c r="T41" i="13"/>
  <c r="G43" i="23"/>
  <c r="M44" i="23"/>
  <c r="K44" i="23"/>
  <c r="N43" i="23"/>
  <c r="O42" i="23"/>
  <c r="A44" i="23"/>
  <c r="L44" i="23" s="1"/>
  <c r="F43" i="23"/>
  <c r="I43" i="23" s="1"/>
  <c r="J44" i="23"/>
  <c r="G41" i="13"/>
  <c r="F37" i="13"/>
  <c r="I37" i="13" s="1"/>
  <c r="M20" i="1"/>
  <c r="L21" i="1"/>
  <c r="J21" i="1"/>
  <c r="K21" i="1"/>
  <c r="N39" i="13"/>
  <c r="L39" i="13"/>
  <c r="M39" i="13"/>
  <c r="K39" i="13"/>
  <c r="J39" i="13"/>
  <c r="R21" i="1"/>
  <c r="O38" i="13"/>
  <c r="P38" i="13" s="1"/>
  <c r="U38" i="13" s="1"/>
  <c r="I19" i="1"/>
  <c r="F19" i="1"/>
  <c r="B58" i="23" l="1"/>
  <c r="C57" i="23"/>
  <c r="D57" i="23"/>
  <c r="E57" i="23"/>
  <c r="H57" i="23" s="1"/>
  <c r="C44" i="13"/>
  <c r="H42" i="13"/>
  <c r="H21" i="1"/>
  <c r="E22" i="1"/>
  <c r="D22" i="1"/>
  <c r="E43" i="13"/>
  <c r="D43" i="13"/>
  <c r="H43" i="13" s="1"/>
  <c r="O43" i="23"/>
  <c r="T42" i="13"/>
  <c r="G44" i="23"/>
  <c r="K45" i="23"/>
  <c r="N44" i="23"/>
  <c r="M45" i="23"/>
  <c r="A45" i="23"/>
  <c r="L45" i="23" s="1"/>
  <c r="J45" i="23"/>
  <c r="F44" i="23"/>
  <c r="I44" i="23" s="1"/>
  <c r="G42" i="13"/>
  <c r="F38" i="13"/>
  <c r="I38" i="13" s="1"/>
  <c r="M21" i="1"/>
  <c r="J22" i="1"/>
  <c r="K22" i="1"/>
  <c r="L22" i="1"/>
  <c r="N40" i="13"/>
  <c r="K40" i="13"/>
  <c r="M40" i="13"/>
  <c r="L40" i="13"/>
  <c r="J40" i="13"/>
  <c r="R22" i="1"/>
  <c r="L73" i="9"/>
  <c r="O39" i="13"/>
  <c r="P39" i="13" s="1"/>
  <c r="U39" i="13" s="1"/>
  <c r="G19" i="1"/>
  <c r="B59" i="23" l="1"/>
  <c r="C58" i="23"/>
  <c r="D58" i="23"/>
  <c r="E58" i="23"/>
  <c r="C45" i="13"/>
  <c r="H22" i="1"/>
  <c r="E44" i="13"/>
  <c r="D44" i="13"/>
  <c r="D23" i="1"/>
  <c r="E23" i="1"/>
  <c r="O44" i="23"/>
  <c r="T43" i="13"/>
  <c r="G45" i="23"/>
  <c r="A46" i="23"/>
  <c r="L46" i="23" s="1"/>
  <c r="N45" i="23"/>
  <c r="K46" i="23"/>
  <c r="M46" i="23"/>
  <c r="J46" i="23"/>
  <c r="F45" i="23"/>
  <c r="I45" i="23" s="1"/>
  <c r="G43" i="13"/>
  <c r="F39" i="13"/>
  <c r="I39" i="13" s="1"/>
  <c r="M22" i="1"/>
  <c r="J23" i="1"/>
  <c r="K23" i="1"/>
  <c r="L23" i="1"/>
  <c r="N41" i="13"/>
  <c r="K41" i="13"/>
  <c r="M41" i="13"/>
  <c r="L41" i="13"/>
  <c r="J41" i="13"/>
  <c r="R23" i="1"/>
  <c r="O40" i="13"/>
  <c r="P40" i="13" s="1"/>
  <c r="U40" i="13" s="1"/>
  <c r="G20" i="1"/>
  <c r="I20" i="1"/>
  <c r="N20" i="1"/>
  <c r="F20" i="1"/>
  <c r="H58" i="23" l="1"/>
  <c r="B60" i="23"/>
  <c r="C59" i="23"/>
  <c r="E59" i="23"/>
  <c r="D59" i="23"/>
  <c r="H59" i="23" s="1"/>
  <c r="H44" i="13"/>
  <c r="C46" i="13"/>
  <c r="H23" i="1"/>
  <c r="E45" i="13"/>
  <c r="D45" i="13"/>
  <c r="D24" i="1"/>
  <c r="E24" i="1"/>
  <c r="T44" i="13"/>
  <c r="G46" i="23"/>
  <c r="N46" i="23"/>
  <c r="M47" i="23"/>
  <c r="O45" i="23"/>
  <c r="F46" i="23"/>
  <c r="I46" i="23" s="1"/>
  <c r="K47" i="23"/>
  <c r="A47" i="23"/>
  <c r="L47" i="23" s="1"/>
  <c r="J47" i="23"/>
  <c r="G44" i="13"/>
  <c r="F40" i="13"/>
  <c r="I40" i="13" s="1"/>
  <c r="K24" i="1"/>
  <c r="L24" i="1"/>
  <c r="J24" i="1"/>
  <c r="M23" i="1"/>
  <c r="N42" i="13"/>
  <c r="L42" i="13"/>
  <c r="M42" i="13"/>
  <c r="K42" i="13"/>
  <c r="J42" i="13"/>
  <c r="R24" i="1"/>
  <c r="O41" i="13"/>
  <c r="P41" i="13" s="1"/>
  <c r="U41" i="13" s="1"/>
  <c r="N21" i="1"/>
  <c r="I21" i="1"/>
  <c r="F21" i="1"/>
  <c r="G21" i="1"/>
  <c r="B61" i="23" l="1"/>
  <c r="C60" i="23"/>
  <c r="D60" i="23"/>
  <c r="E60" i="23"/>
  <c r="H60" i="23" s="1"/>
  <c r="C47" i="13"/>
  <c r="H45" i="13"/>
  <c r="E46" i="13"/>
  <c r="D46" i="13"/>
  <c r="H24" i="1"/>
  <c r="E25" i="1"/>
  <c r="D25" i="1"/>
  <c r="T45" i="13"/>
  <c r="O46" i="23"/>
  <c r="G47" i="23"/>
  <c r="G48" i="23" s="1"/>
  <c r="A48" i="23"/>
  <c r="L48" i="23" s="1"/>
  <c r="K48" i="23"/>
  <c r="M48" i="23"/>
  <c r="N47" i="23"/>
  <c r="F47" i="23"/>
  <c r="I47" i="23" s="1"/>
  <c r="J48" i="23"/>
  <c r="G45" i="13"/>
  <c r="F41" i="13"/>
  <c r="I41" i="13" s="1"/>
  <c r="M24" i="1"/>
  <c r="L25" i="1"/>
  <c r="J25" i="1"/>
  <c r="K25" i="1"/>
  <c r="N43" i="13"/>
  <c r="M43" i="13"/>
  <c r="L43" i="13"/>
  <c r="J43" i="13"/>
  <c r="K43" i="13"/>
  <c r="R25" i="1"/>
  <c r="O42" i="13"/>
  <c r="P42" i="13" s="1"/>
  <c r="U42" i="13" s="1"/>
  <c r="G22" i="1"/>
  <c r="F22" i="1"/>
  <c r="N22" i="1"/>
  <c r="I22" i="1"/>
  <c r="B62" i="23" l="1"/>
  <c r="C61" i="23"/>
  <c r="D61" i="23"/>
  <c r="E61" i="23"/>
  <c r="H61" i="23" s="1"/>
  <c r="C48" i="13"/>
  <c r="H46" i="13"/>
  <c r="H25" i="1"/>
  <c r="E26" i="1"/>
  <c r="D26" i="1"/>
  <c r="E47" i="13"/>
  <c r="D47" i="13"/>
  <c r="T46" i="13"/>
  <c r="M49" i="23"/>
  <c r="O47" i="23"/>
  <c r="J49" i="23"/>
  <c r="N48" i="23"/>
  <c r="O48" i="23" s="1"/>
  <c r="K49" i="23"/>
  <c r="F48" i="23"/>
  <c r="A49" i="23"/>
  <c r="L49" i="23" s="1"/>
  <c r="G46" i="13"/>
  <c r="F42" i="13"/>
  <c r="I42" i="13" s="1"/>
  <c r="M25" i="1"/>
  <c r="J26" i="1"/>
  <c r="K26" i="1"/>
  <c r="L26" i="1"/>
  <c r="N44" i="13"/>
  <c r="M44" i="13"/>
  <c r="K44" i="13"/>
  <c r="L44" i="13"/>
  <c r="J44" i="13"/>
  <c r="R26" i="1"/>
  <c r="O43" i="13"/>
  <c r="P43" i="13" s="1"/>
  <c r="U43" i="13" s="1"/>
  <c r="N23" i="1"/>
  <c r="I23" i="1"/>
  <c r="G23" i="1"/>
  <c r="F23" i="1"/>
  <c r="B63" i="23" l="1"/>
  <c r="C62" i="23"/>
  <c r="D62" i="23"/>
  <c r="E62" i="23"/>
  <c r="H62" i="23" s="1"/>
  <c r="C49" i="13"/>
  <c r="H47" i="13"/>
  <c r="E27" i="1"/>
  <c r="D27" i="1"/>
  <c r="D48" i="13"/>
  <c r="E48" i="13"/>
  <c r="H26" i="1"/>
  <c r="T47" i="13"/>
  <c r="I48" i="23"/>
  <c r="F49" i="23"/>
  <c r="G49" i="23"/>
  <c r="A50" i="23"/>
  <c r="L50" i="23" s="1"/>
  <c r="M50" i="23"/>
  <c r="N49" i="23"/>
  <c r="J50" i="23"/>
  <c r="K50" i="23"/>
  <c r="G47" i="13"/>
  <c r="F43" i="13"/>
  <c r="I43" i="13" s="1"/>
  <c r="J27" i="1"/>
  <c r="K27" i="1"/>
  <c r="L27" i="1"/>
  <c r="M26" i="1"/>
  <c r="N45" i="13"/>
  <c r="M45" i="13"/>
  <c r="L45" i="13"/>
  <c r="J45" i="13"/>
  <c r="K45" i="13"/>
  <c r="R27" i="1"/>
  <c r="O44" i="13"/>
  <c r="P44" i="13" s="1"/>
  <c r="U44" i="13" s="1"/>
  <c r="N24" i="1"/>
  <c r="F24" i="1"/>
  <c r="I24" i="1"/>
  <c r="G24" i="1"/>
  <c r="B64" i="23" l="1"/>
  <c r="C63" i="23"/>
  <c r="E63" i="23"/>
  <c r="D63" i="23"/>
  <c r="H63" i="23" s="1"/>
  <c r="C50" i="13"/>
  <c r="H48" i="13"/>
  <c r="D28" i="1"/>
  <c r="E28" i="1"/>
  <c r="H27" i="1"/>
  <c r="E49" i="13"/>
  <c r="D49" i="13"/>
  <c r="T48" i="13"/>
  <c r="I49" i="23"/>
  <c r="F50" i="23"/>
  <c r="I50" i="23" s="1"/>
  <c r="G50" i="23"/>
  <c r="A51" i="23"/>
  <c r="L51" i="23" s="1"/>
  <c r="O49" i="23"/>
  <c r="K51" i="23"/>
  <c r="M51" i="23"/>
  <c r="N50" i="23"/>
  <c r="J51" i="23"/>
  <c r="G48" i="13"/>
  <c r="F44" i="13"/>
  <c r="I44" i="13" s="1"/>
  <c r="K28" i="1"/>
  <c r="L28" i="1"/>
  <c r="J28" i="1"/>
  <c r="M27" i="1"/>
  <c r="N46" i="13"/>
  <c r="M46" i="13"/>
  <c r="K46" i="13"/>
  <c r="L46" i="13"/>
  <c r="J46" i="13"/>
  <c r="R28" i="1"/>
  <c r="O45" i="13"/>
  <c r="P45" i="13" s="1"/>
  <c r="U45" i="13" s="1"/>
  <c r="N25" i="1"/>
  <c r="F25" i="1"/>
  <c r="I25" i="1"/>
  <c r="G25" i="1"/>
  <c r="B65" i="23" l="1"/>
  <c r="C64" i="23"/>
  <c r="E64" i="23"/>
  <c r="D64" i="23"/>
  <c r="H64" i="23"/>
  <c r="C51" i="13"/>
  <c r="H49" i="13"/>
  <c r="E50" i="13"/>
  <c r="D50" i="13"/>
  <c r="E29" i="1"/>
  <c r="D29" i="1"/>
  <c r="H28" i="1"/>
  <c r="T49" i="13"/>
  <c r="G51" i="23"/>
  <c r="N51" i="23"/>
  <c r="K52" i="23"/>
  <c r="O50" i="23"/>
  <c r="A52" i="23"/>
  <c r="L52" i="23" s="1"/>
  <c r="M52" i="23"/>
  <c r="J52" i="23"/>
  <c r="F51" i="23"/>
  <c r="I51" i="23" s="1"/>
  <c r="G49" i="13"/>
  <c r="F45" i="13"/>
  <c r="I45" i="13" s="1"/>
  <c r="M28" i="1"/>
  <c r="L29" i="1"/>
  <c r="J29" i="1"/>
  <c r="K29" i="1"/>
  <c r="N47" i="13"/>
  <c r="L47" i="13"/>
  <c r="M47" i="13"/>
  <c r="J47" i="13"/>
  <c r="K47" i="13"/>
  <c r="R29" i="1"/>
  <c r="O46" i="13"/>
  <c r="P46" i="13" s="1"/>
  <c r="U46" i="13" s="1"/>
  <c r="N26" i="1"/>
  <c r="I26" i="1"/>
  <c r="F26" i="1"/>
  <c r="G26" i="1"/>
  <c r="B66" i="23" l="1"/>
  <c r="C65" i="23"/>
  <c r="E65" i="23"/>
  <c r="D65" i="23"/>
  <c r="H65" i="23"/>
  <c r="C52" i="13"/>
  <c r="H50" i="13"/>
  <c r="H29" i="1"/>
  <c r="D30" i="1"/>
  <c r="E30" i="1"/>
  <c r="E51" i="13"/>
  <c r="D51" i="13"/>
  <c r="O51" i="23"/>
  <c r="T50" i="13"/>
  <c r="G52" i="23"/>
  <c r="J53" i="23"/>
  <c r="N52" i="23"/>
  <c r="K53" i="23"/>
  <c r="M53" i="23"/>
  <c r="A53" i="23"/>
  <c r="L53" i="23" s="1"/>
  <c r="F52" i="23"/>
  <c r="I52" i="23" s="1"/>
  <c r="G50" i="13"/>
  <c r="F46" i="13"/>
  <c r="I46" i="13" s="1"/>
  <c r="M29" i="1"/>
  <c r="J30" i="1"/>
  <c r="K30" i="1"/>
  <c r="L30" i="1"/>
  <c r="N48" i="13"/>
  <c r="L48" i="13"/>
  <c r="M48" i="13"/>
  <c r="J48" i="13"/>
  <c r="K48" i="13"/>
  <c r="R30" i="1"/>
  <c r="O47" i="13"/>
  <c r="P47" i="13" s="1"/>
  <c r="U47" i="13" s="1"/>
  <c r="N27" i="1"/>
  <c r="I27" i="1"/>
  <c r="G27" i="1"/>
  <c r="F27" i="1"/>
  <c r="B67" i="23" l="1"/>
  <c r="C66" i="23"/>
  <c r="D66" i="23"/>
  <c r="E66" i="23"/>
  <c r="H66" i="23" s="1"/>
  <c r="H51" i="13"/>
  <c r="C53" i="13"/>
  <c r="H30" i="1"/>
  <c r="E52" i="13"/>
  <c r="D52" i="13"/>
  <c r="D31" i="1"/>
  <c r="E31" i="1"/>
  <c r="T51" i="13"/>
  <c r="G53" i="23"/>
  <c r="J54" i="23"/>
  <c r="A54" i="23"/>
  <c r="L54" i="23" s="1"/>
  <c r="O52" i="23"/>
  <c r="N53" i="23"/>
  <c r="F53" i="23"/>
  <c r="I53" i="23" s="1"/>
  <c r="K54" i="23"/>
  <c r="M54" i="23"/>
  <c r="F47" i="13"/>
  <c r="I47" i="13" s="1"/>
  <c r="G51" i="13"/>
  <c r="L31" i="1"/>
  <c r="J31" i="1"/>
  <c r="K31" i="1"/>
  <c r="M30" i="1"/>
  <c r="N49" i="13"/>
  <c r="K49" i="13"/>
  <c r="M49" i="13"/>
  <c r="L49" i="13"/>
  <c r="J49" i="13"/>
  <c r="R31" i="1"/>
  <c r="O48" i="13"/>
  <c r="P48" i="13" s="1"/>
  <c r="U48" i="13" s="1"/>
  <c r="N28" i="1"/>
  <c r="F28" i="1"/>
  <c r="G28" i="1"/>
  <c r="I28" i="1"/>
  <c r="B68" i="23" l="1"/>
  <c r="C67" i="23"/>
  <c r="D67" i="23"/>
  <c r="E67" i="23"/>
  <c r="H67" i="23" s="1"/>
  <c r="C54" i="13"/>
  <c r="H52" i="13"/>
  <c r="E53" i="13"/>
  <c r="D53" i="13"/>
  <c r="H31" i="1"/>
  <c r="D32" i="1"/>
  <c r="E32" i="1"/>
  <c r="T52" i="13"/>
  <c r="G54" i="23"/>
  <c r="K55" i="23"/>
  <c r="O53" i="23"/>
  <c r="N54" i="23"/>
  <c r="M55" i="23"/>
  <c r="A55" i="23"/>
  <c r="L55" i="23" s="1"/>
  <c r="J55" i="23"/>
  <c r="F54" i="23"/>
  <c r="I54" i="23" s="1"/>
  <c r="G52" i="13"/>
  <c r="F48" i="13"/>
  <c r="I48" i="13" s="1"/>
  <c r="K32" i="1"/>
  <c r="L32" i="1"/>
  <c r="J32" i="1"/>
  <c r="M31" i="1"/>
  <c r="N50" i="13"/>
  <c r="M50" i="13"/>
  <c r="K50" i="13"/>
  <c r="J50" i="13"/>
  <c r="L50" i="13"/>
  <c r="R32" i="1"/>
  <c r="O49" i="13"/>
  <c r="P49" i="13" s="1"/>
  <c r="U49" i="13" s="1"/>
  <c r="N29" i="1"/>
  <c r="G29" i="1"/>
  <c r="I29" i="1"/>
  <c r="F29" i="1"/>
  <c r="B69" i="23" l="1"/>
  <c r="C68" i="23"/>
  <c r="D68" i="23"/>
  <c r="H68" i="23" s="1"/>
  <c r="E68" i="23"/>
  <c r="C55" i="13"/>
  <c r="H53" i="13"/>
  <c r="E54" i="13"/>
  <c r="D54" i="13"/>
  <c r="H32" i="1"/>
  <c r="E33" i="1"/>
  <c r="D33" i="1"/>
  <c r="T53" i="13"/>
  <c r="G55" i="23"/>
  <c r="M56" i="23"/>
  <c r="O54" i="23"/>
  <c r="N55" i="23"/>
  <c r="K56" i="23"/>
  <c r="A56" i="23"/>
  <c r="L56" i="23" s="1"/>
  <c r="F55" i="23"/>
  <c r="I55" i="23" s="1"/>
  <c r="J56" i="23"/>
  <c r="G53" i="13"/>
  <c r="F49" i="13"/>
  <c r="I49" i="13" s="1"/>
  <c r="L33" i="1"/>
  <c r="J33" i="1"/>
  <c r="K33" i="1"/>
  <c r="M32" i="1"/>
  <c r="N51" i="13"/>
  <c r="L51" i="13"/>
  <c r="K51" i="13"/>
  <c r="M51" i="13"/>
  <c r="J51" i="13"/>
  <c r="R33" i="1"/>
  <c r="O50" i="13"/>
  <c r="P50" i="13" s="1"/>
  <c r="U50" i="13" s="1"/>
  <c r="G30" i="1"/>
  <c r="N30" i="1"/>
  <c r="F30" i="1"/>
  <c r="I30" i="1"/>
  <c r="B70" i="23" l="1"/>
  <c r="C69" i="23"/>
  <c r="D69" i="23"/>
  <c r="H69" i="23" s="1"/>
  <c r="E69" i="23"/>
  <c r="C56" i="13"/>
  <c r="H33" i="1"/>
  <c r="H54" i="13"/>
  <c r="D34" i="1"/>
  <c r="E34" i="1"/>
  <c r="E55" i="13"/>
  <c r="D55" i="13"/>
  <c r="T54" i="13"/>
  <c r="G56" i="23"/>
  <c r="N56" i="23"/>
  <c r="M57" i="23"/>
  <c r="O55" i="23"/>
  <c r="A57" i="23"/>
  <c r="L57" i="23" s="1"/>
  <c r="J57" i="23"/>
  <c r="K57" i="23"/>
  <c r="F56" i="23"/>
  <c r="I56" i="23" s="1"/>
  <c r="G54" i="13"/>
  <c r="F50" i="13"/>
  <c r="I50" i="13" s="1"/>
  <c r="J34" i="1"/>
  <c r="K34" i="1"/>
  <c r="L34" i="1"/>
  <c r="M33" i="1"/>
  <c r="N52" i="13"/>
  <c r="M52" i="13"/>
  <c r="K52" i="13"/>
  <c r="L52" i="13"/>
  <c r="J52" i="13"/>
  <c r="R34" i="1"/>
  <c r="O51" i="13"/>
  <c r="P51" i="13" s="1"/>
  <c r="U51" i="13" s="1"/>
  <c r="G31" i="1"/>
  <c r="N31" i="1"/>
  <c r="F31" i="1"/>
  <c r="I31" i="1"/>
  <c r="B71" i="23" l="1"/>
  <c r="C70" i="23"/>
  <c r="D70" i="23"/>
  <c r="H70" i="23" s="1"/>
  <c r="E70" i="23"/>
  <c r="C57" i="13"/>
  <c r="H55" i="13"/>
  <c r="E35" i="1"/>
  <c r="D35" i="1"/>
  <c r="D56" i="13"/>
  <c r="E56" i="13"/>
  <c r="H34" i="1"/>
  <c r="O56" i="23"/>
  <c r="T55" i="13"/>
  <c r="G57" i="23"/>
  <c r="M58" i="23"/>
  <c r="N57" i="23"/>
  <c r="F57" i="23"/>
  <c r="I57" i="23" s="1"/>
  <c r="A58" i="23"/>
  <c r="L58" i="23" s="1"/>
  <c r="J58" i="23"/>
  <c r="K58" i="23"/>
  <c r="F51" i="13"/>
  <c r="I51" i="13" s="1"/>
  <c r="G55" i="13"/>
  <c r="J35" i="1"/>
  <c r="K35" i="1"/>
  <c r="L35" i="1"/>
  <c r="M34" i="1"/>
  <c r="N53" i="13"/>
  <c r="L53" i="13"/>
  <c r="K53" i="13"/>
  <c r="M53" i="13"/>
  <c r="J53" i="13"/>
  <c r="R35" i="1"/>
  <c r="O52" i="13"/>
  <c r="P52" i="13" s="1"/>
  <c r="U52" i="13" s="1"/>
  <c r="G32" i="1"/>
  <c r="N32" i="1"/>
  <c r="I32" i="1"/>
  <c r="F32" i="1"/>
  <c r="B72" i="23" l="1"/>
  <c r="C71" i="23"/>
  <c r="E71" i="23"/>
  <c r="D71" i="23"/>
  <c r="H71" i="23" s="1"/>
  <c r="C58" i="13"/>
  <c r="H56" i="13"/>
  <c r="H35" i="1"/>
  <c r="E57" i="13"/>
  <c r="D57" i="13"/>
  <c r="D36" i="1"/>
  <c r="E36" i="1"/>
  <c r="T56" i="13"/>
  <c r="G58" i="23"/>
  <c r="K59" i="23"/>
  <c r="O57" i="23"/>
  <c r="M59" i="23"/>
  <c r="A59" i="23"/>
  <c r="L59" i="23" s="1"/>
  <c r="J59" i="23"/>
  <c r="N58" i="23"/>
  <c r="F58" i="23"/>
  <c r="I58" i="23" s="1"/>
  <c r="G56" i="13"/>
  <c r="F52" i="13"/>
  <c r="I52" i="13" s="1"/>
  <c r="M35" i="1"/>
  <c r="L36" i="1"/>
  <c r="K36" i="1"/>
  <c r="J36" i="1"/>
  <c r="N54" i="13"/>
  <c r="M54" i="13"/>
  <c r="L54" i="13"/>
  <c r="J54" i="13"/>
  <c r="K54" i="13"/>
  <c r="R36" i="1"/>
  <c r="O53" i="13"/>
  <c r="P53" i="13" s="1"/>
  <c r="U53" i="13" s="1"/>
  <c r="G33" i="1"/>
  <c r="I33" i="1"/>
  <c r="F33" i="1"/>
  <c r="N33" i="1"/>
  <c r="B73" i="23" l="1"/>
  <c r="C72" i="23"/>
  <c r="E72" i="23"/>
  <c r="D72" i="23"/>
  <c r="H72" i="23" s="1"/>
  <c r="C59" i="13"/>
  <c r="H57" i="13"/>
  <c r="E58" i="13"/>
  <c r="D58" i="13"/>
  <c r="H36" i="1"/>
  <c r="D37" i="1"/>
  <c r="E37" i="1"/>
  <c r="T57" i="13"/>
  <c r="G59" i="23"/>
  <c r="N59" i="23"/>
  <c r="K60" i="23"/>
  <c r="O58" i="23"/>
  <c r="M60" i="23"/>
  <c r="A60" i="23"/>
  <c r="L60" i="23" s="1"/>
  <c r="J60" i="23"/>
  <c r="F59" i="23"/>
  <c r="I59" i="23" s="1"/>
  <c r="G57" i="13"/>
  <c r="F53" i="13"/>
  <c r="I53" i="13" s="1"/>
  <c r="M36" i="1"/>
  <c r="L37" i="1"/>
  <c r="J37" i="1"/>
  <c r="K37" i="1"/>
  <c r="N55" i="13"/>
  <c r="M55" i="13"/>
  <c r="K55" i="13"/>
  <c r="J55" i="13"/>
  <c r="L55" i="13"/>
  <c r="R37" i="1"/>
  <c r="O54" i="13"/>
  <c r="P54" i="13" s="1"/>
  <c r="U54" i="13" s="1"/>
  <c r="G34" i="1"/>
  <c r="N34" i="1"/>
  <c r="I34" i="1"/>
  <c r="F34" i="1"/>
  <c r="B74" i="23" l="1"/>
  <c r="C73" i="23"/>
  <c r="E73" i="23"/>
  <c r="D73" i="23"/>
  <c r="H73" i="23" s="1"/>
  <c r="C60" i="13"/>
  <c r="H58" i="13"/>
  <c r="H37" i="1"/>
  <c r="E38" i="1"/>
  <c r="D38" i="1"/>
  <c r="E59" i="13"/>
  <c r="D59" i="13"/>
  <c r="O59" i="23"/>
  <c r="T58" i="13"/>
  <c r="G60" i="23"/>
  <c r="N60" i="23"/>
  <c r="F60" i="23"/>
  <c r="I60" i="23" s="1"/>
  <c r="K61" i="23"/>
  <c r="M61" i="23"/>
  <c r="A61" i="23"/>
  <c r="L61" i="23" s="1"/>
  <c r="J61" i="23"/>
  <c r="G58" i="13"/>
  <c r="F54" i="13"/>
  <c r="I54" i="13" s="1"/>
  <c r="M37" i="1"/>
  <c r="J38" i="1"/>
  <c r="K38" i="1"/>
  <c r="L38" i="1"/>
  <c r="N56" i="13"/>
  <c r="M56" i="13"/>
  <c r="L56" i="13"/>
  <c r="K56" i="13"/>
  <c r="J56" i="13"/>
  <c r="R38" i="1"/>
  <c r="O55" i="13"/>
  <c r="P55" i="13" s="1"/>
  <c r="U55" i="13" s="1"/>
  <c r="G35" i="1"/>
  <c r="I35" i="1"/>
  <c r="F35" i="1"/>
  <c r="N35" i="1"/>
  <c r="B75" i="23" l="1"/>
  <c r="C74" i="23"/>
  <c r="A74" i="23"/>
  <c r="E74" i="23"/>
  <c r="D74" i="23"/>
  <c r="H74" i="23" s="1"/>
  <c r="M74" i="23"/>
  <c r="L74" i="23"/>
  <c r="K74" i="23"/>
  <c r="J74" i="23"/>
  <c r="N74" i="23"/>
  <c r="O74" i="23" s="1"/>
  <c r="C61" i="13"/>
  <c r="H59" i="13"/>
  <c r="H38" i="1"/>
  <c r="D39" i="1"/>
  <c r="E39" i="1"/>
  <c r="E60" i="13"/>
  <c r="D60" i="13"/>
  <c r="T59" i="13"/>
  <c r="G61" i="23"/>
  <c r="A62" i="23"/>
  <c r="L62" i="23" s="1"/>
  <c r="F61" i="23"/>
  <c r="I61" i="23" s="1"/>
  <c r="O60" i="23"/>
  <c r="J62" i="23"/>
  <c r="K62" i="23"/>
  <c r="M62" i="23"/>
  <c r="N61" i="23"/>
  <c r="G59" i="13"/>
  <c r="F55" i="13"/>
  <c r="I55" i="13" s="1"/>
  <c r="J39" i="1"/>
  <c r="L39" i="1"/>
  <c r="K39" i="1"/>
  <c r="M38" i="1"/>
  <c r="N57" i="13"/>
  <c r="L57" i="13"/>
  <c r="M57" i="13"/>
  <c r="K57" i="13"/>
  <c r="J57" i="13"/>
  <c r="R39" i="1"/>
  <c r="O56" i="13"/>
  <c r="P56" i="13" s="1"/>
  <c r="U56" i="13" s="1"/>
  <c r="G36" i="1"/>
  <c r="N36" i="1"/>
  <c r="F36" i="1"/>
  <c r="I36" i="1"/>
  <c r="H60" i="13" l="1"/>
  <c r="B76" i="23"/>
  <c r="C75" i="23"/>
  <c r="A75" i="23"/>
  <c r="E75" i="23"/>
  <c r="D75" i="23"/>
  <c r="H75" i="23" s="1"/>
  <c r="M75" i="23"/>
  <c r="L75" i="23"/>
  <c r="J75" i="23"/>
  <c r="K75" i="23"/>
  <c r="N75" i="23"/>
  <c r="O75" i="23" s="1"/>
  <c r="C62" i="13"/>
  <c r="H39" i="1"/>
  <c r="D40" i="1"/>
  <c r="E40" i="1"/>
  <c r="E61" i="13"/>
  <c r="D61" i="13"/>
  <c r="F62" i="23"/>
  <c r="I62" i="23" s="1"/>
  <c r="T60" i="13"/>
  <c r="G62" i="23"/>
  <c r="A63" i="23"/>
  <c r="L63" i="23" s="1"/>
  <c r="M63" i="23"/>
  <c r="J63" i="23"/>
  <c r="O61" i="23"/>
  <c r="N62" i="23"/>
  <c r="K63" i="23"/>
  <c r="G60" i="13"/>
  <c r="F56" i="13"/>
  <c r="I56" i="13" s="1"/>
  <c r="M39" i="1"/>
  <c r="K40" i="1"/>
  <c r="L40" i="1"/>
  <c r="J40" i="1"/>
  <c r="N58" i="13"/>
  <c r="K58" i="13"/>
  <c r="M58" i="13"/>
  <c r="J58" i="13"/>
  <c r="L58" i="13"/>
  <c r="R40" i="1"/>
  <c r="O57" i="13"/>
  <c r="P57" i="13" s="1"/>
  <c r="U57" i="13" s="1"/>
  <c r="G37" i="1"/>
  <c r="I37" i="1"/>
  <c r="F37" i="1"/>
  <c r="N37" i="1"/>
  <c r="B77" i="23" l="1"/>
  <c r="C76" i="23"/>
  <c r="A76" i="23"/>
  <c r="D76" i="23"/>
  <c r="H76" i="23" s="1"/>
  <c r="E76" i="23"/>
  <c r="M76" i="23"/>
  <c r="L76" i="23"/>
  <c r="J76" i="23"/>
  <c r="K76" i="23"/>
  <c r="N76" i="23"/>
  <c r="O76" i="23" s="1"/>
  <c r="H61" i="13"/>
  <c r="C63" i="13"/>
  <c r="H40" i="1"/>
  <c r="E62" i="13"/>
  <c r="D62" i="13"/>
  <c r="D41" i="1"/>
  <c r="E41" i="1"/>
  <c r="T61" i="13"/>
  <c r="G63" i="23"/>
  <c r="O62" i="23"/>
  <c r="N63" i="23"/>
  <c r="A64" i="23"/>
  <c r="L64" i="23" s="1"/>
  <c r="J64" i="23"/>
  <c r="K64" i="23"/>
  <c r="F63" i="23"/>
  <c r="I63" i="23" s="1"/>
  <c r="M64" i="23"/>
  <c r="G61" i="13"/>
  <c r="F57" i="13"/>
  <c r="I57" i="13" s="1"/>
  <c r="M40" i="1"/>
  <c r="J41" i="1"/>
  <c r="L41" i="1"/>
  <c r="K41" i="1"/>
  <c r="N59" i="13"/>
  <c r="L59" i="13"/>
  <c r="M59" i="13"/>
  <c r="K59" i="13"/>
  <c r="J59" i="13"/>
  <c r="R41" i="1"/>
  <c r="O58" i="13"/>
  <c r="P58" i="13" s="1"/>
  <c r="U58" i="13" s="1"/>
  <c r="G38" i="1"/>
  <c r="N38" i="1"/>
  <c r="I38" i="1"/>
  <c r="F38" i="1"/>
  <c r="C77" i="23" l="1"/>
  <c r="A77" i="23"/>
  <c r="E77" i="23"/>
  <c r="H77" i="23" s="1"/>
  <c r="D77" i="23"/>
  <c r="M77" i="23"/>
  <c r="L77" i="23"/>
  <c r="J77" i="23"/>
  <c r="K77" i="23"/>
  <c r="N77" i="23"/>
  <c r="O77" i="23" s="1"/>
  <c r="C64" i="13"/>
  <c r="H62" i="13"/>
  <c r="D42" i="1"/>
  <c r="E42" i="1"/>
  <c r="E63" i="13"/>
  <c r="D63" i="13"/>
  <c r="H41" i="1"/>
  <c r="T62" i="13"/>
  <c r="G64" i="23"/>
  <c r="M65" i="23"/>
  <c r="O63" i="23"/>
  <c r="N64" i="23"/>
  <c r="J65" i="23"/>
  <c r="K65" i="23"/>
  <c r="A65" i="23"/>
  <c r="L65" i="23" s="1"/>
  <c r="F64" i="23"/>
  <c r="I64" i="23" s="1"/>
  <c r="G62" i="13"/>
  <c r="F58" i="13"/>
  <c r="I58" i="13" s="1"/>
  <c r="L42" i="1"/>
  <c r="J42" i="1"/>
  <c r="K42" i="1"/>
  <c r="M41" i="1"/>
  <c r="N60" i="13"/>
  <c r="K60" i="13"/>
  <c r="M60" i="13"/>
  <c r="L60" i="13"/>
  <c r="J60" i="13"/>
  <c r="R42" i="1"/>
  <c r="O59" i="13"/>
  <c r="P59" i="13" s="1"/>
  <c r="U59" i="13" s="1"/>
  <c r="G39" i="1"/>
  <c r="N39" i="1"/>
  <c r="F39" i="1"/>
  <c r="I39" i="1"/>
  <c r="C65" i="13" l="1"/>
  <c r="H63" i="13"/>
  <c r="E43" i="1"/>
  <c r="D43" i="1"/>
  <c r="D64" i="13"/>
  <c r="E64" i="13"/>
  <c r="H42" i="1"/>
  <c r="T63" i="13"/>
  <c r="G65" i="23"/>
  <c r="J66" i="23"/>
  <c r="M66" i="23"/>
  <c r="O64" i="23"/>
  <c r="N65" i="23"/>
  <c r="F65" i="23"/>
  <c r="I65" i="23" s="1"/>
  <c r="A66" i="23"/>
  <c r="L66" i="23" s="1"/>
  <c r="K66" i="23"/>
  <c r="M42" i="1"/>
  <c r="G63" i="13"/>
  <c r="F59" i="13"/>
  <c r="I59" i="13" s="1"/>
  <c r="J43" i="1"/>
  <c r="K43" i="1"/>
  <c r="L43" i="1"/>
  <c r="N61" i="13"/>
  <c r="L61" i="13"/>
  <c r="M61" i="13"/>
  <c r="K61" i="13"/>
  <c r="J61" i="13"/>
  <c r="R43" i="1"/>
  <c r="O60" i="13"/>
  <c r="P60" i="13" s="1"/>
  <c r="U60" i="13" s="1"/>
  <c r="G40" i="1"/>
  <c r="N40" i="1"/>
  <c r="F40" i="1"/>
  <c r="I40" i="1"/>
  <c r="C66" i="13" l="1"/>
  <c r="H64" i="13"/>
  <c r="E65" i="13"/>
  <c r="D65" i="13"/>
  <c r="H43" i="1"/>
  <c r="E44" i="1"/>
  <c r="D44" i="1"/>
  <c r="T64" i="13"/>
  <c r="G66" i="23"/>
  <c r="N66" i="23"/>
  <c r="K67" i="23"/>
  <c r="O65" i="23"/>
  <c r="M67" i="23"/>
  <c r="A67" i="23"/>
  <c r="L67" i="23" s="1"/>
  <c r="J67" i="23"/>
  <c r="F66" i="23"/>
  <c r="I66" i="23" s="1"/>
  <c r="M43" i="1"/>
  <c r="F60" i="13"/>
  <c r="I60" i="13" s="1"/>
  <c r="G64" i="13"/>
  <c r="J44" i="1"/>
  <c r="K44" i="1"/>
  <c r="L44" i="1"/>
  <c r="N62" i="13"/>
  <c r="K62" i="13"/>
  <c r="M62" i="13"/>
  <c r="L62" i="13"/>
  <c r="J62" i="13"/>
  <c r="R44" i="1"/>
  <c r="O61" i="13"/>
  <c r="P61" i="13" s="1"/>
  <c r="U61" i="13" s="1"/>
  <c r="G41" i="1"/>
  <c r="F41" i="1"/>
  <c r="F42" i="1" s="1"/>
  <c r="I41" i="1"/>
  <c r="N41" i="1"/>
  <c r="C67" i="13" l="1"/>
  <c r="H65" i="13"/>
  <c r="H44" i="1"/>
  <c r="D45" i="1"/>
  <c r="E45" i="1"/>
  <c r="E66" i="13"/>
  <c r="D66" i="13"/>
  <c r="T65" i="13"/>
  <c r="O66" i="23"/>
  <c r="G67" i="23"/>
  <c r="N67" i="23"/>
  <c r="J68" i="23"/>
  <c r="K68" i="23"/>
  <c r="M68" i="23"/>
  <c r="F67" i="23"/>
  <c r="I67" i="23" s="1"/>
  <c r="A68" i="23"/>
  <c r="L68" i="23" s="1"/>
  <c r="M44" i="1"/>
  <c r="G65" i="13"/>
  <c r="F61" i="13"/>
  <c r="I61" i="13" s="1"/>
  <c r="J45" i="1"/>
  <c r="K45" i="1"/>
  <c r="L45" i="1"/>
  <c r="N63" i="13"/>
  <c r="M63" i="13"/>
  <c r="K63" i="13"/>
  <c r="J63" i="13"/>
  <c r="L63" i="13"/>
  <c r="R45" i="1"/>
  <c r="O62" i="13"/>
  <c r="P62" i="13" s="1"/>
  <c r="U62" i="13" s="1"/>
  <c r="G42" i="1"/>
  <c r="N42" i="1"/>
  <c r="I42" i="1"/>
  <c r="F43" i="1"/>
  <c r="C68" i="13" l="1"/>
  <c r="H66" i="13"/>
  <c r="E67" i="13"/>
  <c r="D67" i="13"/>
  <c r="H45" i="1"/>
  <c r="D46" i="1"/>
  <c r="E46" i="1"/>
  <c r="O67" i="23"/>
  <c r="T66" i="13"/>
  <c r="G68" i="23"/>
  <c r="N68" i="23"/>
  <c r="K69" i="23"/>
  <c r="F68" i="23"/>
  <c r="I68" i="23" s="1"/>
  <c r="M69" i="23"/>
  <c r="A69" i="23"/>
  <c r="L69" i="23" s="1"/>
  <c r="J69" i="23"/>
  <c r="M45" i="1"/>
  <c r="G66" i="13"/>
  <c r="F62" i="13"/>
  <c r="I62" i="13" s="1"/>
  <c r="J46" i="1"/>
  <c r="K46" i="1"/>
  <c r="L46" i="1"/>
  <c r="N64" i="13"/>
  <c r="K64" i="13"/>
  <c r="M64" i="13"/>
  <c r="L64" i="13"/>
  <c r="J64" i="13"/>
  <c r="R46" i="1"/>
  <c r="O63" i="13"/>
  <c r="P63" i="13" s="1"/>
  <c r="U63" i="13" s="1"/>
  <c r="G43" i="1"/>
  <c r="I43" i="1"/>
  <c r="N43" i="1"/>
  <c r="C69" i="13" l="1"/>
  <c r="H67" i="13"/>
  <c r="D47" i="1"/>
  <c r="E47" i="1"/>
  <c r="H46" i="1"/>
  <c r="E68" i="13"/>
  <c r="D68" i="13"/>
  <c r="T67" i="13"/>
  <c r="G69" i="23"/>
  <c r="O68" i="23"/>
  <c r="M70" i="23"/>
  <c r="J70" i="23"/>
  <c r="K70" i="23"/>
  <c r="N69" i="23"/>
  <c r="F69" i="23"/>
  <c r="I69" i="23" s="1"/>
  <c r="A70" i="23"/>
  <c r="L70" i="23" s="1"/>
  <c r="M46" i="1"/>
  <c r="F63" i="13"/>
  <c r="I63" i="13" s="1"/>
  <c r="G67" i="13"/>
  <c r="J47" i="1"/>
  <c r="K47" i="1"/>
  <c r="L47" i="1"/>
  <c r="N65" i="13"/>
  <c r="K65" i="13"/>
  <c r="J65" i="13"/>
  <c r="M65" i="13"/>
  <c r="L65" i="13"/>
  <c r="R47" i="1"/>
  <c r="O64" i="13"/>
  <c r="P64" i="13" s="1"/>
  <c r="U64" i="13" s="1"/>
  <c r="G44" i="1"/>
  <c r="N44" i="1"/>
  <c r="I44" i="1"/>
  <c r="F44" i="1"/>
  <c r="C70" i="13" l="1"/>
  <c r="H68" i="13"/>
  <c r="D48" i="1"/>
  <c r="E48" i="1"/>
  <c r="E69" i="13"/>
  <c r="D69" i="13"/>
  <c r="H47" i="1"/>
  <c r="T68" i="13"/>
  <c r="G70" i="23"/>
  <c r="K71" i="23"/>
  <c r="M71" i="23"/>
  <c r="O69" i="23"/>
  <c r="N70" i="23"/>
  <c r="J71" i="23"/>
  <c r="F70" i="23"/>
  <c r="I70" i="23" s="1"/>
  <c r="A71" i="23"/>
  <c r="L71" i="23" s="1"/>
  <c r="M47" i="1"/>
  <c r="F64" i="13"/>
  <c r="I64" i="13" s="1"/>
  <c r="G68" i="13"/>
  <c r="L48" i="1"/>
  <c r="J48" i="1"/>
  <c r="K48" i="1"/>
  <c r="N66" i="13"/>
  <c r="K66" i="13"/>
  <c r="L66" i="13"/>
  <c r="M66" i="13"/>
  <c r="J66" i="13"/>
  <c r="R48" i="1"/>
  <c r="O65" i="13"/>
  <c r="P65" i="13" s="1"/>
  <c r="U65" i="13" s="1"/>
  <c r="G45" i="1"/>
  <c r="I45" i="1"/>
  <c r="F45" i="1"/>
  <c r="N45" i="1"/>
  <c r="C71" i="13" l="1"/>
  <c r="H69" i="13"/>
  <c r="H48" i="1"/>
  <c r="D49" i="1"/>
  <c r="E49" i="1"/>
  <c r="E70" i="13"/>
  <c r="D70" i="13"/>
  <c r="T69" i="13"/>
  <c r="G71" i="23"/>
  <c r="O70" i="23"/>
  <c r="N71" i="23"/>
  <c r="A72" i="23"/>
  <c r="L72" i="23" s="1"/>
  <c r="K72" i="23"/>
  <c r="M72" i="23"/>
  <c r="F71" i="23"/>
  <c r="I71" i="23" s="1"/>
  <c r="J72" i="23"/>
  <c r="M48" i="1"/>
  <c r="F65" i="13"/>
  <c r="I65" i="13" s="1"/>
  <c r="G69" i="13"/>
  <c r="J49" i="1"/>
  <c r="K49" i="1"/>
  <c r="L49" i="1"/>
  <c r="N67" i="13"/>
  <c r="K67" i="13"/>
  <c r="M67" i="13"/>
  <c r="J67" i="13"/>
  <c r="L67" i="13"/>
  <c r="R49" i="1"/>
  <c r="O66" i="13"/>
  <c r="P66" i="13" s="1"/>
  <c r="U66" i="13" s="1"/>
  <c r="G46" i="1"/>
  <c r="I46" i="1"/>
  <c r="N46" i="1"/>
  <c r="F46" i="1"/>
  <c r="C72" i="13" l="1"/>
  <c r="H70" i="13"/>
  <c r="E71" i="13"/>
  <c r="D71" i="13"/>
  <c r="D50" i="1"/>
  <c r="E50" i="1"/>
  <c r="H49" i="1"/>
  <c r="O71" i="23"/>
  <c r="T70" i="13"/>
  <c r="G72" i="23"/>
  <c r="N72" i="23"/>
  <c r="M73" i="23"/>
  <c r="A73" i="23"/>
  <c r="L73" i="23" s="1"/>
  <c r="K73" i="23"/>
  <c r="F72" i="23"/>
  <c r="I72" i="23" s="1"/>
  <c r="J73" i="23"/>
  <c r="M49" i="1"/>
  <c r="F66" i="13"/>
  <c r="I66" i="13" s="1"/>
  <c r="G70" i="13"/>
  <c r="J50" i="1"/>
  <c r="K50" i="1"/>
  <c r="L50" i="1"/>
  <c r="N68" i="13"/>
  <c r="L68" i="13"/>
  <c r="M68" i="13"/>
  <c r="K68" i="13"/>
  <c r="J68" i="13"/>
  <c r="R50" i="1"/>
  <c r="O67" i="13"/>
  <c r="P67" i="13" s="1"/>
  <c r="U67" i="13" s="1"/>
  <c r="G47" i="1"/>
  <c r="F47" i="1"/>
  <c r="N47" i="1"/>
  <c r="I47" i="1"/>
  <c r="C73" i="13" l="1"/>
  <c r="H71" i="13"/>
  <c r="H50" i="1"/>
  <c r="E72" i="13"/>
  <c r="D72" i="13"/>
  <c r="E51" i="1"/>
  <c r="D51" i="1"/>
  <c r="O72" i="23"/>
  <c r="T71" i="13"/>
  <c r="G73" i="23"/>
  <c r="G74" i="23" s="1"/>
  <c r="G75" i="23" s="1"/>
  <c r="G76" i="23" s="1"/>
  <c r="G77" i="23" s="1"/>
  <c r="N73" i="23"/>
  <c r="F73" i="23"/>
  <c r="F74" i="23" s="1"/>
  <c r="M50" i="1"/>
  <c r="F67" i="13"/>
  <c r="I67" i="13" s="1"/>
  <c r="G71" i="13"/>
  <c r="J51" i="1"/>
  <c r="K51" i="1"/>
  <c r="L51" i="1"/>
  <c r="N69" i="13"/>
  <c r="K69" i="13"/>
  <c r="M69" i="13"/>
  <c r="L69" i="13"/>
  <c r="J69" i="13"/>
  <c r="R51" i="1"/>
  <c r="O68" i="13"/>
  <c r="P68" i="13" s="1"/>
  <c r="U68" i="13" s="1"/>
  <c r="G48" i="1"/>
  <c r="N48" i="1"/>
  <c r="I48" i="1"/>
  <c r="F48" i="1"/>
  <c r="C74" i="13" l="1"/>
  <c r="H72" i="13"/>
  <c r="H51" i="1"/>
  <c r="D52" i="1"/>
  <c r="E52" i="1"/>
  <c r="E73" i="13"/>
  <c r="D73" i="13"/>
  <c r="I74" i="23"/>
  <c r="F75" i="23"/>
  <c r="O73" i="23"/>
  <c r="T72" i="13"/>
  <c r="I73" i="23"/>
  <c r="M51" i="1"/>
  <c r="G72" i="13"/>
  <c r="F68" i="13"/>
  <c r="I68" i="13" s="1"/>
  <c r="J52" i="1"/>
  <c r="K52" i="1"/>
  <c r="L52" i="1"/>
  <c r="N70" i="13"/>
  <c r="L70" i="13"/>
  <c r="M70" i="13"/>
  <c r="K70" i="13"/>
  <c r="J70" i="13"/>
  <c r="R52" i="1"/>
  <c r="O69" i="13"/>
  <c r="P69" i="13" s="1"/>
  <c r="U69" i="13" s="1"/>
  <c r="G49" i="1"/>
  <c r="N49" i="1"/>
  <c r="I49" i="1"/>
  <c r="F49" i="1"/>
  <c r="H73" i="13" l="1"/>
  <c r="C75" i="13"/>
  <c r="E74" i="13"/>
  <c r="D74" i="13"/>
  <c r="H74" i="13" s="1"/>
  <c r="D53" i="1"/>
  <c r="E53" i="1"/>
  <c r="H52" i="1"/>
  <c r="I75" i="23"/>
  <c r="F76" i="23"/>
  <c r="T73" i="13"/>
  <c r="M52" i="1"/>
  <c r="G73" i="13"/>
  <c r="F69" i="13"/>
  <c r="I69" i="13" s="1"/>
  <c r="J53" i="1"/>
  <c r="K53" i="1"/>
  <c r="L53" i="1"/>
  <c r="N71" i="13"/>
  <c r="K71" i="13"/>
  <c r="M71" i="13"/>
  <c r="L71" i="13"/>
  <c r="J71" i="13"/>
  <c r="R53" i="1"/>
  <c r="O70" i="13"/>
  <c r="P70" i="13" s="1"/>
  <c r="U70" i="13" s="1"/>
  <c r="G50" i="1"/>
  <c r="G51" i="1" s="1"/>
  <c r="N50" i="1"/>
  <c r="F50" i="1"/>
  <c r="I50" i="1"/>
  <c r="C76" i="13" l="1"/>
  <c r="D54" i="1"/>
  <c r="E54" i="1"/>
  <c r="H53" i="1"/>
  <c r="E75" i="13"/>
  <c r="D75" i="13"/>
  <c r="I76" i="23"/>
  <c r="F77" i="23"/>
  <c r="T74" i="13"/>
  <c r="M53" i="1"/>
  <c r="F70" i="13"/>
  <c r="I70" i="13" s="1"/>
  <c r="G74" i="13"/>
  <c r="J54" i="1"/>
  <c r="K54" i="1"/>
  <c r="L54" i="1"/>
  <c r="N72" i="13"/>
  <c r="L72" i="13"/>
  <c r="M72" i="13"/>
  <c r="K72" i="13"/>
  <c r="J72" i="13"/>
  <c r="R54" i="1"/>
  <c r="O71" i="13"/>
  <c r="P71" i="13" s="1"/>
  <c r="U71" i="13" s="1"/>
  <c r="I51" i="1"/>
  <c r="F51" i="1"/>
  <c r="N51" i="1"/>
  <c r="G52" i="1"/>
  <c r="C77" i="13" l="1"/>
  <c r="H75" i="13"/>
  <c r="I77" i="23"/>
  <c r="H54" i="1"/>
  <c r="E76" i="13"/>
  <c r="D76" i="13"/>
  <c r="D55" i="1"/>
  <c r="E55" i="1"/>
  <c r="T75" i="13"/>
  <c r="M54" i="1"/>
  <c r="G75" i="13"/>
  <c r="F71" i="13"/>
  <c r="I71" i="13" s="1"/>
  <c r="J55" i="1"/>
  <c r="K55" i="1"/>
  <c r="L55" i="1"/>
  <c r="N73" i="13"/>
  <c r="K73" i="13"/>
  <c r="J73" i="13"/>
  <c r="M73" i="13"/>
  <c r="L73" i="13"/>
  <c r="R55" i="1"/>
  <c r="O72" i="13"/>
  <c r="P72" i="13" s="1"/>
  <c r="U72" i="13" s="1"/>
  <c r="F52" i="1"/>
  <c r="N52" i="1"/>
  <c r="I52" i="1"/>
  <c r="G53" i="1"/>
  <c r="C78" i="13" l="1"/>
  <c r="H76" i="13"/>
  <c r="H55" i="1"/>
  <c r="D56" i="1"/>
  <c r="E56" i="1"/>
  <c r="E77" i="13"/>
  <c r="D77" i="13"/>
  <c r="T76" i="13"/>
  <c r="M55" i="1"/>
  <c r="G76" i="13"/>
  <c r="F72" i="13"/>
  <c r="I72" i="13" s="1"/>
  <c r="K56" i="1"/>
  <c r="L56" i="1"/>
  <c r="J56" i="1"/>
  <c r="N74" i="13"/>
  <c r="M74" i="13"/>
  <c r="K74" i="13"/>
  <c r="J74" i="13"/>
  <c r="L74" i="13"/>
  <c r="R56" i="1"/>
  <c r="O73" i="13"/>
  <c r="P73" i="13" s="1"/>
  <c r="U73" i="13" s="1"/>
  <c r="I53" i="1"/>
  <c r="N53" i="1"/>
  <c r="F53" i="1"/>
  <c r="G54" i="1"/>
  <c r="C79" i="13" l="1"/>
  <c r="H77" i="13"/>
  <c r="E78" i="13"/>
  <c r="D78" i="13"/>
  <c r="D57" i="1"/>
  <c r="E57" i="1"/>
  <c r="H56" i="1"/>
  <c r="T77" i="13"/>
  <c r="M56" i="1"/>
  <c r="G77" i="13"/>
  <c r="F73" i="13"/>
  <c r="I73" i="13" s="1"/>
  <c r="J57" i="1"/>
  <c r="K57" i="1"/>
  <c r="L57" i="1"/>
  <c r="N75" i="13"/>
  <c r="L75" i="13"/>
  <c r="J75" i="13"/>
  <c r="K75" i="13"/>
  <c r="M75" i="13"/>
  <c r="R57" i="1"/>
  <c r="O74" i="13"/>
  <c r="P74" i="13" s="1"/>
  <c r="U74" i="13" s="1"/>
  <c r="F54" i="1"/>
  <c r="N54" i="1"/>
  <c r="I54" i="1"/>
  <c r="G55" i="1"/>
  <c r="C80" i="13" l="1"/>
  <c r="H78" i="13"/>
  <c r="E79" i="13"/>
  <c r="D79" i="13"/>
  <c r="H57" i="1"/>
  <c r="D58" i="1"/>
  <c r="E58" i="1"/>
  <c r="T78" i="13"/>
  <c r="M57" i="1"/>
  <c r="G78" i="13"/>
  <c r="F74" i="13"/>
  <c r="I74" i="13" s="1"/>
  <c r="C9" i="23"/>
  <c r="C10" i="23"/>
  <c r="K58" i="1"/>
  <c r="L58" i="1"/>
  <c r="J58" i="1"/>
  <c r="N76" i="13"/>
  <c r="L76" i="13"/>
  <c r="M76" i="13"/>
  <c r="K76" i="13"/>
  <c r="J76" i="13"/>
  <c r="R58" i="1"/>
  <c r="O75" i="13"/>
  <c r="P75" i="13" s="1"/>
  <c r="U75" i="13" s="1"/>
  <c r="N55" i="1"/>
  <c r="I55" i="1"/>
  <c r="F55" i="1"/>
  <c r="G56" i="1"/>
  <c r="C81" i="13" l="1"/>
  <c r="H79" i="13"/>
  <c r="H58" i="1"/>
  <c r="E59" i="1"/>
  <c r="D59" i="1"/>
  <c r="E80" i="13"/>
  <c r="D80" i="13"/>
  <c r="T79" i="13"/>
  <c r="M58" i="1"/>
  <c r="F75" i="13"/>
  <c r="I75" i="13" s="1"/>
  <c r="G79" i="13"/>
  <c r="J59" i="1"/>
  <c r="K59" i="1"/>
  <c r="L59" i="1"/>
  <c r="N77" i="13"/>
  <c r="L77" i="13"/>
  <c r="K77" i="13"/>
  <c r="M77" i="13"/>
  <c r="J77" i="13"/>
  <c r="R59" i="1"/>
  <c r="O76" i="13"/>
  <c r="P76" i="13" s="1"/>
  <c r="U76" i="13" s="1"/>
  <c r="I56" i="1"/>
  <c r="F56" i="1"/>
  <c r="N56" i="1"/>
  <c r="G57" i="1"/>
  <c r="C82" i="13" l="1"/>
  <c r="H80" i="13"/>
  <c r="H59" i="1"/>
  <c r="E81" i="13"/>
  <c r="D81" i="13"/>
  <c r="D60" i="1"/>
  <c r="E60" i="1"/>
  <c r="T80" i="13"/>
  <c r="M59" i="1"/>
  <c r="F76" i="13"/>
  <c r="I76" i="13" s="1"/>
  <c r="G80" i="13"/>
  <c r="J60" i="1"/>
  <c r="K60" i="1"/>
  <c r="L60" i="1"/>
  <c r="N78" i="13"/>
  <c r="K78" i="13"/>
  <c r="M78" i="13"/>
  <c r="J78" i="13"/>
  <c r="L78" i="13"/>
  <c r="R60" i="1"/>
  <c r="O77" i="13"/>
  <c r="P77" i="13" s="1"/>
  <c r="U77" i="13" s="1"/>
  <c r="N57" i="1"/>
  <c r="F57" i="1"/>
  <c r="I57" i="1"/>
  <c r="G58" i="1"/>
  <c r="H81" i="13" l="1"/>
  <c r="C83" i="13"/>
  <c r="E82" i="13"/>
  <c r="D82" i="13"/>
  <c r="H82" i="13" s="1"/>
  <c r="H60" i="1"/>
  <c r="E61" i="1"/>
  <c r="D61" i="1"/>
  <c r="T81" i="13"/>
  <c r="M60" i="1"/>
  <c r="G81" i="13"/>
  <c r="F77" i="13"/>
  <c r="I77" i="13" s="1"/>
  <c r="J61" i="1"/>
  <c r="K61" i="1"/>
  <c r="L61" i="1"/>
  <c r="N79" i="13"/>
  <c r="L79" i="13"/>
  <c r="M79" i="13"/>
  <c r="K79" i="13"/>
  <c r="J79" i="13"/>
  <c r="R61" i="1"/>
  <c r="O78" i="13"/>
  <c r="P78" i="13" s="1"/>
  <c r="U78" i="13" s="1"/>
  <c r="N58" i="1"/>
  <c r="F58" i="1"/>
  <c r="I58" i="1"/>
  <c r="G59" i="1"/>
  <c r="C84" i="13" l="1"/>
  <c r="M61" i="1"/>
  <c r="E83" i="13"/>
  <c r="D83" i="13"/>
  <c r="E62" i="1"/>
  <c r="D62" i="1"/>
  <c r="H61" i="1"/>
  <c r="T82" i="13"/>
  <c r="G82" i="13"/>
  <c r="F78" i="13"/>
  <c r="I78" i="13" s="1"/>
  <c r="J62" i="1"/>
  <c r="K62" i="1"/>
  <c r="L62" i="1"/>
  <c r="N80" i="13"/>
  <c r="K80" i="13"/>
  <c r="M80" i="13"/>
  <c r="L80" i="13"/>
  <c r="J80" i="13"/>
  <c r="R62" i="1"/>
  <c r="O79" i="13"/>
  <c r="P79" i="13" s="1"/>
  <c r="U79" i="13" s="1"/>
  <c r="N59" i="1"/>
  <c r="I59" i="1"/>
  <c r="F59" i="1"/>
  <c r="G60" i="1"/>
  <c r="H83" i="13" l="1"/>
  <c r="C85" i="13"/>
  <c r="H62" i="1"/>
  <c r="D63" i="1"/>
  <c r="E63" i="1"/>
  <c r="E84" i="13"/>
  <c r="D84" i="13"/>
  <c r="T83" i="13"/>
  <c r="M62" i="1"/>
  <c r="F79" i="13"/>
  <c r="I79" i="13" s="1"/>
  <c r="G83" i="13"/>
  <c r="J63" i="1"/>
  <c r="K63" i="1"/>
  <c r="L63" i="1"/>
  <c r="N81" i="13"/>
  <c r="L81" i="13"/>
  <c r="M81" i="13"/>
  <c r="K81" i="13"/>
  <c r="J81" i="13"/>
  <c r="R63" i="1"/>
  <c r="O80" i="13"/>
  <c r="P80" i="13" s="1"/>
  <c r="U80" i="13" s="1"/>
  <c r="I60" i="1"/>
  <c r="F60" i="1"/>
  <c r="N60" i="1"/>
  <c r="G61" i="1"/>
  <c r="H84" i="13" l="1"/>
  <c r="C86" i="13"/>
  <c r="D64" i="1"/>
  <c r="E64" i="1"/>
  <c r="E85" i="13"/>
  <c r="D85" i="13"/>
  <c r="H63" i="1"/>
  <c r="T84" i="13"/>
  <c r="M63" i="1"/>
  <c r="F80" i="13"/>
  <c r="I80" i="13" s="1"/>
  <c r="G84" i="13"/>
  <c r="K64" i="1"/>
  <c r="J64" i="1"/>
  <c r="L64" i="1"/>
  <c r="N82" i="13"/>
  <c r="L82" i="13"/>
  <c r="K82" i="13"/>
  <c r="M82" i="13"/>
  <c r="J82" i="13"/>
  <c r="R64" i="1"/>
  <c r="O81" i="13"/>
  <c r="P81" i="13" s="1"/>
  <c r="U81" i="13" s="1"/>
  <c r="F61" i="1"/>
  <c r="N61" i="1"/>
  <c r="I61" i="1"/>
  <c r="G62" i="1"/>
  <c r="H85" i="13" l="1"/>
  <c r="C87" i="13"/>
  <c r="M64" i="1"/>
  <c r="E65" i="1"/>
  <c r="D65" i="1"/>
  <c r="E86" i="13"/>
  <c r="D86" i="13"/>
  <c r="H64" i="1"/>
  <c r="T85" i="13"/>
  <c r="G85" i="13"/>
  <c r="F81" i="13"/>
  <c r="I81" i="13" s="1"/>
  <c r="J65" i="1"/>
  <c r="K65" i="1"/>
  <c r="L65" i="1"/>
  <c r="N83" i="13"/>
  <c r="M83" i="13"/>
  <c r="K83" i="13"/>
  <c r="J83" i="13"/>
  <c r="L83" i="13"/>
  <c r="R65" i="1"/>
  <c r="O82" i="13"/>
  <c r="P82" i="13" s="1"/>
  <c r="U82" i="13" s="1"/>
  <c r="I62" i="1"/>
  <c r="N62" i="1"/>
  <c r="F62" i="1"/>
  <c r="G63" i="1"/>
  <c r="H86" i="13" l="1"/>
  <c r="C88" i="13"/>
  <c r="H65" i="1"/>
  <c r="D66" i="1"/>
  <c r="E66" i="1"/>
  <c r="E87" i="13"/>
  <c r="D87" i="13"/>
  <c r="T86" i="13"/>
  <c r="M65" i="1"/>
  <c r="G86" i="13"/>
  <c r="F82" i="13"/>
  <c r="I82" i="13" s="1"/>
  <c r="J66" i="1"/>
  <c r="L66" i="1"/>
  <c r="K66" i="1"/>
  <c r="N84" i="13"/>
  <c r="M84" i="13"/>
  <c r="L84" i="13"/>
  <c r="J84" i="13"/>
  <c r="K84" i="13"/>
  <c r="R66" i="1"/>
  <c r="O83" i="13"/>
  <c r="P83" i="13" s="1"/>
  <c r="U83" i="13" s="1"/>
  <c r="I63" i="1"/>
  <c r="F63" i="1"/>
  <c r="N63" i="1"/>
  <c r="G64" i="1"/>
  <c r="C89" i="13" l="1"/>
  <c r="H87" i="13"/>
  <c r="E67" i="1"/>
  <c r="D67" i="1"/>
  <c r="D88" i="13"/>
  <c r="E88" i="13"/>
  <c r="H66" i="1"/>
  <c r="T87" i="13"/>
  <c r="M66" i="1"/>
  <c r="G87" i="13"/>
  <c r="F83" i="13"/>
  <c r="I83" i="13" s="1"/>
  <c r="J67" i="1"/>
  <c r="K67" i="1"/>
  <c r="L67" i="1"/>
  <c r="N85" i="13"/>
  <c r="L85" i="13"/>
  <c r="M85" i="13"/>
  <c r="J85" i="13"/>
  <c r="K85" i="13"/>
  <c r="R67" i="1"/>
  <c r="O84" i="13"/>
  <c r="P84" i="13" s="1"/>
  <c r="U84" i="13" s="1"/>
  <c r="N64" i="1"/>
  <c r="F64" i="1"/>
  <c r="I64" i="1"/>
  <c r="G65" i="1"/>
  <c r="C90" i="13" l="1"/>
  <c r="H88" i="13"/>
  <c r="E68" i="1"/>
  <c r="D68" i="1"/>
  <c r="E89" i="13"/>
  <c r="D89" i="13"/>
  <c r="H67" i="1"/>
  <c r="T88" i="13"/>
  <c r="M67" i="1"/>
  <c r="G88" i="13"/>
  <c r="F84" i="13"/>
  <c r="I84" i="13" s="1"/>
  <c r="J68" i="1"/>
  <c r="K68" i="1"/>
  <c r="L68" i="1"/>
  <c r="N86" i="13"/>
  <c r="K86" i="13"/>
  <c r="L86" i="13"/>
  <c r="M86" i="13"/>
  <c r="J86" i="13"/>
  <c r="R68" i="1"/>
  <c r="O85" i="13"/>
  <c r="P85" i="13" s="1"/>
  <c r="U85" i="13" s="1"/>
  <c r="N65" i="1"/>
  <c r="I65" i="1"/>
  <c r="F65" i="1"/>
  <c r="G66" i="1"/>
  <c r="C91" i="13" l="1"/>
  <c r="H89" i="13"/>
  <c r="H68" i="1"/>
  <c r="D69" i="1"/>
  <c r="E69" i="1"/>
  <c r="E90" i="13"/>
  <c r="D90" i="13"/>
  <c r="T89" i="13"/>
  <c r="M68" i="1"/>
  <c r="G89" i="13"/>
  <c r="F85" i="13"/>
  <c r="I85" i="13" s="1"/>
  <c r="J69" i="1"/>
  <c r="K69" i="1"/>
  <c r="L69" i="1"/>
  <c r="N87" i="13"/>
  <c r="L87" i="13"/>
  <c r="M87" i="13"/>
  <c r="J87" i="13"/>
  <c r="K87" i="13"/>
  <c r="R69" i="1"/>
  <c r="O86" i="13"/>
  <c r="P86" i="13" s="1"/>
  <c r="U86" i="13" s="1"/>
  <c r="N66" i="1"/>
  <c r="F66" i="1"/>
  <c r="I66" i="1"/>
  <c r="G67" i="1"/>
  <c r="C92" i="13" l="1"/>
  <c r="H90" i="13"/>
  <c r="H69" i="1"/>
  <c r="D70" i="1"/>
  <c r="E70" i="1"/>
  <c r="E91" i="13"/>
  <c r="D91" i="13"/>
  <c r="T90" i="13"/>
  <c r="M69" i="1"/>
  <c r="G90" i="13"/>
  <c r="F86" i="13"/>
  <c r="I86" i="13" s="1"/>
  <c r="K70" i="1"/>
  <c r="L70" i="1"/>
  <c r="J70" i="1"/>
  <c r="N88" i="13"/>
  <c r="K88" i="13"/>
  <c r="M88" i="13"/>
  <c r="L88" i="13"/>
  <c r="J88" i="13"/>
  <c r="R70" i="1"/>
  <c r="O87" i="13"/>
  <c r="P87" i="13" s="1"/>
  <c r="U87" i="13" s="1"/>
  <c r="N67" i="1"/>
  <c r="I67" i="1"/>
  <c r="F67" i="1"/>
  <c r="G68" i="1"/>
  <c r="C93" i="13" l="1"/>
  <c r="H91" i="13"/>
  <c r="E92" i="13"/>
  <c r="D92" i="13"/>
  <c r="D71" i="1"/>
  <c r="E71" i="1"/>
  <c r="H70" i="1"/>
  <c r="T91" i="13"/>
  <c r="M70" i="1"/>
  <c r="G91" i="13"/>
  <c r="F87" i="13"/>
  <c r="I87" i="13" s="1"/>
  <c r="J71" i="1"/>
  <c r="K71" i="1"/>
  <c r="L71" i="1"/>
  <c r="N89" i="13"/>
  <c r="M89" i="13"/>
  <c r="J89" i="13"/>
  <c r="K89" i="13"/>
  <c r="L89" i="13"/>
  <c r="R71" i="1"/>
  <c r="O88" i="13"/>
  <c r="P88" i="13" s="1"/>
  <c r="U88" i="13" s="1"/>
  <c r="I68" i="1"/>
  <c r="F68" i="1"/>
  <c r="N68" i="1"/>
  <c r="G69" i="1"/>
  <c r="C94" i="13" l="1"/>
  <c r="H92" i="13"/>
  <c r="H71" i="1"/>
  <c r="D72" i="1"/>
  <c r="E72" i="1"/>
  <c r="E93" i="13"/>
  <c r="D93" i="13"/>
  <c r="T92" i="13"/>
  <c r="M71" i="1"/>
  <c r="G92" i="13"/>
  <c r="F88" i="13"/>
  <c r="I88" i="13" s="1"/>
  <c r="K72" i="1"/>
  <c r="J72" i="1"/>
  <c r="L72" i="1"/>
  <c r="N90" i="13"/>
  <c r="L90" i="13"/>
  <c r="M90" i="13"/>
  <c r="K90" i="13"/>
  <c r="J90" i="13"/>
  <c r="R72" i="1"/>
  <c r="O89" i="13"/>
  <c r="P89" i="13" s="1"/>
  <c r="U89" i="13" s="1"/>
  <c r="F69" i="1"/>
  <c r="N69" i="1"/>
  <c r="I69" i="1"/>
  <c r="G70" i="1"/>
  <c r="C95" i="13" l="1"/>
  <c r="H93" i="13"/>
  <c r="D73" i="1"/>
  <c r="E73" i="1"/>
  <c r="H72" i="1"/>
  <c r="E94" i="13"/>
  <c r="D94" i="13"/>
  <c r="T93" i="13"/>
  <c r="M72" i="1"/>
  <c r="G93" i="13"/>
  <c r="F89" i="13"/>
  <c r="I89" i="13" s="1"/>
  <c r="J73" i="1"/>
  <c r="K73" i="1"/>
  <c r="L73" i="1"/>
  <c r="N91" i="13"/>
  <c r="L91" i="13"/>
  <c r="M91" i="13"/>
  <c r="K91" i="13"/>
  <c r="J91" i="13"/>
  <c r="R73" i="1"/>
  <c r="O90" i="13"/>
  <c r="P90" i="13" s="1"/>
  <c r="U90" i="13" s="1"/>
  <c r="N70" i="1"/>
  <c r="I70" i="1"/>
  <c r="F70" i="1"/>
  <c r="G71" i="1"/>
  <c r="C96" i="13" l="1"/>
  <c r="H94" i="13"/>
  <c r="E74" i="1"/>
  <c r="D74" i="1"/>
  <c r="E95" i="13"/>
  <c r="D95" i="13"/>
  <c r="H73" i="1"/>
  <c r="T94" i="13"/>
  <c r="M73" i="1"/>
  <c r="G94" i="13"/>
  <c r="F90" i="13"/>
  <c r="I90" i="13" s="1"/>
  <c r="N92" i="13"/>
  <c r="L92" i="13"/>
  <c r="M92" i="13"/>
  <c r="K92" i="13"/>
  <c r="J92" i="13"/>
  <c r="R74" i="1"/>
  <c r="L74" i="1"/>
  <c r="J74" i="1"/>
  <c r="K74" i="1"/>
  <c r="O91" i="13"/>
  <c r="P91" i="13" s="1"/>
  <c r="U91" i="13" s="1"/>
  <c r="F71" i="1"/>
  <c r="I71" i="1"/>
  <c r="N71" i="1"/>
  <c r="G72" i="1"/>
  <c r="C97" i="13" l="1"/>
  <c r="H95" i="13"/>
  <c r="H74" i="1"/>
  <c r="E75" i="1"/>
  <c r="D75" i="1"/>
  <c r="D96" i="13"/>
  <c r="E96" i="13"/>
  <c r="T95" i="13"/>
  <c r="G95" i="13"/>
  <c r="F91" i="13"/>
  <c r="I91" i="13" s="1"/>
  <c r="N93" i="13"/>
  <c r="M93" i="13"/>
  <c r="L93" i="13"/>
  <c r="K93" i="13"/>
  <c r="J93" i="13"/>
  <c r="R75" i="1"/>
  <c r="L75" i="1"/>
  <c r="J75" i="1"/>
  <c r="K75" i="1"/>
  <c r="M74" i="1"/>
  <c r="O92" i="13"/>
  <c r="P92" i="13" s="1"/>
  <c r="U92" i="13" s="1"/>
  <c r="N72" i="1"/>
  <c r="F72" i="1"/>
  <c r="I72" i="1"/>
  <c r="G73" i="1"/>
  <c r="C98" i="13" l="1"/>
  <c r="H96" i="13"/>
  <c r="E97" i="13"/>
  <c r="D97" i="13"/>
  <c r="D76" i="1"/>
  <c r="E76" i="1"/>
  <c r="H75" i="1"/>
  <c r="T96" i="13"/>
  <c r="G96" i="13"/>
  <c r="F92" i="13"/>
  <c r="I92" i="13" s="1"/>
  <c r="N94" i="13"/>
  <c r="M94" i="13"/>
  <c r="K94" i="13"/>
  <c r="L94" i="13"/>
  <c r="J94" i="13"/>
  <c r="R76" i="1"/>
  <c r="L76" i="1"/>
  <c r="J76" i="1"/>
  <c r="K76" i="1"/>
  <c r="M75" i="1"/>
  <c r="O93" i="13"/>
  <c r="P93" i="13" s="1"/>
  <c r="U93" i="13" s="1"/>
  <c r="N73" i="1"/>
  <c r="I73" i="1"/>
  <c r="F73" i="1"/>
  <c r="G74" i="1"/>
  <c r="C99" i="13" l="1"/>
  <c r="H97" i="13"/>
  <c r="H76" i="1"/>
  <c r="E77" i="1"/>
  <c r="D77" i="1"/>
  <c r="E98" i="13"/>
  <c r="D98" i="13"/>
  <c r="T97" i="13"/>
  <c r="G97" i="13"/>
  <c r="F93" i="13"/>
  <c r="I93" i="13" s="1"/>
  <c r="N95" i="13"/>
  <c r="L95" i="13"/>
  <c r="K95" i="13"/>
  <c r="M95" i="13"/>
  <c r="J95" i="13"/>
  <c r="R77" i="1"/>
  <c r="L77" i="1"/>
  <c r="J77" i="1"/>
  <c r="K77" i="1"/>
  <c r="M76" i="1"/>
  <c r="O94" i="13"/>
  <c r="P94" i="13" s="1"/>
  <c r="U94" i="13" s="1"/>
  <c r="N74" i="1"/>
  <c r="I74" i="1"/>
  <c r="F74" i="1"/>
  <c r="G75" i="1"/>
  <c r="C100" i="13" l="1"/>
  <c r="H98" i="13"/>
  <c r="H77" i="1"/>
  <c r="E99" i="13"/>
  <c r="D99" i="13"/>
  <c r="T98" i="13"/>
  <c r="G98" i="13"/>
  <c r="F94" i="13"/>
  <c r="I94" i="13" s="1"/>
  <c r="N96" i="13"/>
  <c r="L96" i="13"/>
  <c r="M96" i="13"/>
  <c r="J96" i="13"/>
  <c r="K96" i="13"/>
  <c r="M77" i="1"/>
  <c r="O95" i="13"/>
  <c r="P95" i="13" s="1"/>
  <c r="U95" i="13" s="1"/>
  <c r="N75" i="1"/>
  <c r="F75" i="1"/>
  <c r="I75" i="1"/>
  <c r="G76" i="1"/>
  <c r="C101" i="13" l="1"/>
  <c r="H99" i="13"/>
  <c r="C9" i="1"/>
  <c r="E100" i="13"/>
  <c r="D100" i="13"/>
  <c r="T99" i="13"/>
  <c r="G99" i="13"/>
  <c r="F95" i="13"/>
  <c r="I95" i="13" s="1"/>
  <c r="C10" i="1"/>
  <c r="N97" i="13"/>
  <c r="K97" i="13"/>
  <c r="M97" i="13"/>
  <c r="J97" i="13"/>
  <c r="L97" i="13"/>
  <c r="O96" i="13"/>
  <c r="P96" i="13" s="1"/>
  <c r="U96" i="13" s="1"/>
  <c r="I76" i="1"/>
  <c r="N76" i="1"/>
  <c r="F76" i="1"/>
  <c r="C102" i="13" l="1"/>
  <c r="S42" i="1"/>
  <c r="S43" i="1"/>
  <c r="S46" i="1"/>
  <c r="S47" i="1"/>
  <c r="S44" i="1"/>
  <c r="S45" i="1"/>
  <c r="S48" i="1"/>
  <c r="S49" i="1"/>
  <c r="S72" i="1"/>
  <c r="S74" i="1"/>
  <c r="S73" i="1"/>
  <c r="S76" i="1"/>
  <c r="S75" i="1"/>
  <c r="S18" i="1"/>
  <c r="S20" i="1"/>
  <c r="S19" i="1"/>
  <c r="S21" i="1"/>
  <c r="S22" i="1"/>
  <c r="S25" i="1"/>
  <c r="S23" i="1"/>
  <c r="S24" i="1"/>
  <c r="S28" i="1"/>
  <c r="S26" i="1"/>
  <c r="S27" i="1"/>
  <c r="S29" i="1"/>
  <c r="S32" i="1"/>
  <c r="S30" i="1"/>
  <c r="S31" i="1"/>
  <c r="S33" i="1"/>
  <c r="S34" i="1"/>
  <c r="S37" i="1"/>
  <c r="S35" i="1"/>
  <c r="S36" i="1"/>
  <c r="S39" i="1"/>
  <c r="S38" i="1"/>
  <c r="S41" i="1"/>
  <c r="S40" i="1"/>
  <c r="H100" i="13"/>
  <c r="S56" i="1"/>
  <c r="S52" i="1"/>
  <c r="S50" i="1"/>
  <c r="S67" i="1"/>
  <c r="S61" i="1"/>
  <c r="S53" i="1"/>
  <c r="S51" i="1"/>
  <c r="S66" i="1"/>
  <c r="S58" i="1"/>
  <c r="S59" i="1"/>
  <c r="S60" i="1"/>
  <c r="S63" i="1"/>
  <c r="S54" i="1"/>
  <c r="S68" i="1"/>
  <c r="S57" i="1"/>
  <c r="S69" i="1"/>
  <c r="S65" i="1"/>
  <c r="S55" i="1"/>
  <c r="S62" i="1"/>
  <c r="S64" i="1"/>
  <c r="S71" i="1"/>
  <c r="S70" i="1"/>
  <c r="E101" i="13"/>
  <c r="D101" i="13"/>
  <c r="T100" i="13"/>
  <c r="G100" i="13"/>
  <c r="F96" i="13"/>
  <c r="I96" i="13" s="1"/>
  <c r="N98" i="13"/>
  <c r="K98" i="13"/>
  <c r="L98" i="13"/>
  <c r="M98" i="13"/>
  <c r="J98" i="13"/>
  <c r="O97" i="13"/>
  <c r="P97" i="13" s="1"/>
  <c r="U97" i="13" s="1"/>
  <c r="N77" i="1"/>
  <c r="S77" i="1" s="1"/>
  <c r="F77" i="1"/>
  <c r="I77" i="1"/>
  <c r="G77" i="1"/>
  <c r="C103" i="13" l="1"/>
  <c r="H101" i="13"/>
  <c r="E102" i="13"/>
  <c r="D102" i="13"/>
  <c r="T101" i="13"/>
  <c r="F97" i="13"/>
  <c r="I97" i="13" s="1"/>
  <c r="G101" i="13"/>
  <c r="N99" i="13"/>
  <c r="M99" i="13"/>
  <c r="L99" i="13"/>
  <c r="J99" i="13"/>
  <c r="K99" i="13"/>
  <c r="O98" i="13"/>
  <c r="P98" i="13" s="1"/>
  <c r="U98" i="13" s="1"/>
  <c r="C104" i="13" l="1"/>
  <c r="H102" i="13"/>
  <c r="E103" i="13"/>
  <c r="D103" i="13"/>
  <c r="T102" i="13"/>
  <c r="G102" i="13"/>
  <c r="F98" i="13"/>
  <c r="I98" i="13" s="1"/>
  <c r="N100" i="13"/>
  <c r="L100" i="13"/>
  <c r="J100" i="13"/>
  <c r="M100" i="13"/>
  <c r="K100" i="13"/>
  <c r="O99" i="13"/>
  <c r="P99" i="13" s="1"/>
  <c r="U99" i="13" s="1"/>
  <c r="H103" i="13" l="1"/>
  <c r="C105" i="13"/>
  <c r="D104" i="13"/>
  <c r="E104" i="13"/>
  <c r="T103" i="13"/>
  <c r="G103" i="13"/>
  <c r="F99" i="13"/>
  <c r="I99" i="13" s="1"/>
  <c r="N101" i="13"/>
  <c r="L101" i="13"/>
  <c r="K101" i="13"/>
  <c r="M101" i="13"/>
  <c r="J101" i="13"/>
  <c r="O100" i="13"/>
  <c r="P100" i="13" s="1"/>
  <c r="U100" i="13" s="1"/>
  <c r="C106" i="13" l="1"/>
  <c r="H104" i="13"/>
  <c r="E105" i="13"/>
  <c r="D105" i="13"/>
  <c r="T104" i="13"/>
  <c r="F100" i="13"/>
  <c r="I100" i="13" s="1"/>
  <c r="G104" i="13"/>
  <c r="N102" i="13"/>
  <c r="M102" i="13"/>
  <c r="L102" i="13"/>
  <c r="K102" i="13"/>
  <c r="J102" i="13"/>
  <c r="O101" i="13"/>
  <c r="P101" i="13" s="1"/>
  <c r="U101" i="13" s="1"/>
  <c r="C107" i="13" l="1"/>
  <c r="H105" i="13"/>
  <c r="E106" i="13"/>
  <c r="D106" i="13"/>
  <c r="T105" i="13"/>
  <c r="G105" i="13"/>
  <c r="F101" i="13"/>
  <c r="I101" i="13" s="1"/>
  <c r="N103" i="13"/>
  <c r="M103" i="13"/>
  <c r="K103" i="13"/>
  <c r="L103" i="13"/>
  <c r="J103" i="13"/>
  <c r="O102" i="13"/>
  <c r="P102" i="13" s="1"/>
  <c r="U102" i="13" s="1"/>
  <c r="C108" i="13" l="1"/>
  <c r="H106" i="13"/>
  <c r="E107" i="13"/>
  <c r="D107" i="13"/>
  <c r="T106" i="13"/>
  <c r="G106" i="13"/>
  <c r="F102" i="13"/>
  <c r="I102" i="13" s="1"/>
  <c r="N104" i="13"/>
  <c r="M104" i="13"/>
  <c r="L104" i="13"/>
  <c r="J104" i="13"/>
  <c r="K104" i="13"/>
  <c r="O103" i="13"/>
  <c r="P103" i="13" s="1"/>
  <c r="U103" i="13" s="1"/>
  <c r="C109" i="13" l="1"/>
  <c r="H107" i="13"/>
  <c r="E108" i="13"/>
  <c r="D108" i="13"/>
  <c r="T107" i="13"/>
  <c r="G107" i="13"/>
  <c r="F103" i="13"/>
  <c r="I103" i="13" s="1"/>
  <c r="N105" i="13"/>
  <c r="K105" i="13"/>
  <c r="L105" i="13"/>
  <c r="M105" i="13"/>
  <c r="J105" i="13"/>
  <c r="O104" i="13"/>
  <c r="P104" i="13" s="1"/>
  <c r="U104" i="13" s="1"/>
  <c r="C110" i="13" l="1"/>
  <c r="H108" i="13"/>
  <c r="E109" i="13"/>
  <c r="D109" i="13"/>
  <c r="T108" i="13"/>
  <c r="F104" i="13"/>
  <c r="I104" i="13" s="1"/>
  <c r="G108" i="13"/>
  <c r="N106" i="13"/>
  <c r="K106" i="13"/>
  <c r="M106" i="13"/>
  <c r="L106" i="13"/>
  <c r="J106" i="13"/>
  <c r="O105" i="13"/>
  <c r="P105" i="13" s="1"/>
  <c r="U105" i="13" s="1"/>
  <c r="H109" i="13" l="1"/>
  <c r="C111" i="13"/>
  <c r="E110" i="13"/>
  <c r="D110" i="13"/>
  <c r="T109" i="13"/>
  <c r="G109" i="13"/>
  <c r="F105" i="13"/>
  <c r="I105" i="13" s="1"/>
  <c r="N107" i="13"/>
  <c r="K107" i="13"/>
  <c r="L107" i="13"/>
  <c r="J107" i="13"/>
  <c r="M107" i="13"/>
  <c r="O106" i="13"/>
  <c r="P106" i="13" s="1"/>
  <c r="U106" i="13" s="1"/>
  <c r="C112" i="13" l="1"/>
  <c r="H110" i="13"/>
  <c r="E111" i="13"/>
  <c r="D111" i="13"/>
  <c r="T110" i="13"/>
  <c r="G110" i="13"/>
  <c r="F106" i="13"/>
  <c r="I106" i="13" s="1"/>
  <c r="N108" i="13"/>
  <c r="L108" i="13"/>
  <c r="M108" i="13"/>
  <c r="K108" i="13"/>
  <c r="J108" i="13"/>
  <c r="O107" i="13"/>
  <c r="P107" i="13" s="1"/>
  <c r="U107" i="13" s="1"/>
  <c r="C113" i="13" l="1"/>
  <c r="H111" i="13"/>
  <c r="D112" i="13"/>
  <c r="E112" i="13"/>
  <c r="T111" i="13"/>
  <c r="G111" i="13"/>
  <c r="F107" i="13"/>
  <c r="I107" i="13" s="1"/>
  <c r="N109" i="13"/>
  <c r="L109" i="13"/>
  <c r="M109" i="13"/>
  <c r="J109" i="13"/>
  <c r="K109" i="13"/>
  <c r="O108" i="13"/>
  <c r="P108" i="13" s="1"/>
  <c r="U108" i="13" s="1"/>
  <c r="C114" i="13" l="1"/>
  <c r="H112" i="13"/>
  <c r="E113" i="13"/>
  <c r="D113" i="13"/>
  <c r="T112" i="13"/>
  <c r="G112" i="13"/>
  <c r="F108" i="13"/>
  <c r="I108" i="13" s="1"/>
  <c r="N110" i="13"/>
  <c r="K110" i="13"/>
  <c r="M110" i="13"/>
  <c r="L110" i="13"/>
  <c r="J110" i="13"/>
  <c r="O109" i="13"/>
  <c r="P109" i="13" s="1"/>
  <c r="U109" i="13" s="1"/>
  <c r="H113" i="13" l="1"/>
  <c r="C115" i="13"/>
  <c r="E114" i="13"/>
  <c r="D114" i="13"/>
  <c r="T113" i="13"/>
  <c r="G113" i="13"/>
  <c r="F109" i="13"/>
  <c r="I109" i="13" s="1"/>
  <c r="N111" i="13"/>
  <c r="L111" i="13"/>
  <c r="M111" i="13"/>
  <c r="K111" i="13"/>
  <c r="J111" i="13"/>
  <c r="O110" i="13"/>
  <c r="P110" i="13" s="1"/>
  <c r="U110" i="13" s="1"/>
  <c r="C116" i="13" l="1"/>
  <c r="H114" i="13"/>
  <c r="E115" i="13"/>
  <c r="D115" i="13"/>
  <c r="T114" i="13"/>
  <c r="G114" i="13"/>
  <c r="F110" i="13"/>
  <c r="I110" i="13" s="1"/>
  <c r="N112" i="13"/>
  <c r="M112" i="13"/>
  <c r="J112" i="13"/>
  <c r="L112" i="13"/>
  <c r="K112" i="13"/>
  <c r="O111" i="13"/>
  <c r="P111" i="13" s="1"/>
  <c r="U111" i="13" s="1"/>
  <c r="H115" i="13" l="1"/>
  <c r="C117" i="13"/>
  <c r="E116" i="13"/>
  <c r="D116" i="13"/>
  <c r="T115" i="13"/>
  <c r="G115" i="13"/>
  <c r="F111" i="13"/>
  <c r="I111" i="13" s="1"/>
  <c r="N113" i="13"/>
  <c r="L113" i="13"/>
  <c r="K113" i="13"/>
  <c r="J113" i="13"/>
  <c r="M113" i="13"/>
  <c r="O112" i="13"/>
  <c r="P112" i="13" s="1"/>
  <c r="U112" i="13" s="1"/>
  <c r="C118" i="13" l="1"/>
  <c r="H116" i="13"/>
  <c r="E117" i="13"/>
  <c r="D117" i="13"/>
  <c r="T116" i="13"/>
  <c r="G116" i="13"/>
  <c r="F112" i="13"/>
  <c r="I112" i="13" s="1"/>
  <c r="N114" i="13"/>
  <c r="M114" i="13"/>
  <c r="K114" i="13"/>
  <c r="L114" i="13"/>
  <c r="J114" i="13"/>
  <c r="O113" i="13"/>
  <c r="P113" i="13" s="1"/>
  <c r="U113" i="13" s="1"/>
  <c r="C119" i="13" l="1"/>
  <c r="H117" i="13"/>
  <c r="E118" i="13"/>
  <c r="D118" i="13"/>
  <c r="T117" i="13"/>
  <c r="G117" i="13"/>
  <c r="F113" i="13"/>
  <c r="I113" i="13" s="1"/>
  <c r="N115" i="13"/>
  <c r="M115" i="13"/>
  <c r="L115" i="13"/>
  <c r="K115" i="13"/>
  <c r="J115" i="13"/>
  <c r="O114" i="13"/>
  <c r="P114" i="13" s="1"/>
  <c r="U114" i="13" s="1"/>
  <c r="C120" i="13" l="1"/>
  <c r="H118" i="13"/>
  <c r="E119" i="13"/>
  <c r="D119" i="13"/>
  <c r="T118" i="13"/>
  <c r="G118" i="13"/>
  <c r="F114" i="13"/>
  <c r="I114" i="13" s="1"/>
  <c r="N116" i="13"/>
  <c r="M116" i="13"/>
  <c r="L116" i="13"/>
  <c r="K116" i="13"/>
  <c r="J116" i="13"/>
  <c r="O115" i="13"/>
  <c r="P115" i="13" s="1"/>
  <c r="U115" i="13" s="1"/>
  <c r="H119" i="13" l="1"/>
  <c r="C121" i="13"/>
  <c r="D120" i="13"/>
  <c r="E120" i="13"/>
  <c r="T119" i="13"/>
  <c r="G119" i="13"/>
  <c r="F115" i="13"/>
  <c r="I115" i="13" s="1"/>
  <c r="N117" i="13"/>
  <c r="K117" i="13"/>
  <c r="M117" i="13"/>
  <c r="L117" i="13"/>
  <c r="J117" i="13"/>
  <c r="O116" i="13"/>
  <c r="P116" i="13" s="1"/>
  <c r="U116" i="13" s="1"/>
  <c r="C122" i="13" l="1"/>
  <c r="H120" i="13"/>
  <c r="E121" i="13"/>
  <c r="D121" i="13"/>
  <c r="T120" i="13"/>
  <c r="G120" i="13"/>
  <c r="F116" i="13"/>
  <c r="I116" i="13" s="1"/>
  <c r="N118" i="13"/>
  <c r="L118" i="13"/>
  <c r="M118" i="13"/>
  <c r="J118" i="13"/>
  <c r="K118" i="13"/>
  <c r="O117" i="13"/>
  <c r="P117" i="13" s="1"/>
  <c r="U117" i="13" s="1"/>
  <c r="C123" i="13" l="1"/>
  <c r="H121" i="13"/>
  <c r="E122" i="13"/>
  <c r="D122" i="13"/>
  <c r="T121" i="13"/>
  <c r="G121" i="13"/>
  <c r="F117" i="13"/>
  <c r="I117" i="13" s="1"/>
  <c r="N119" i="13"/>
  <c r="M119" i="13"/>
  <c r="L119" i="13"/>
  <c r="J119" i="13"/>
  <c r="K119" i="13"/>
  <c r="O118" i="13"/>
  <c r="P118" i="13" s="1"/>
  <c r="U118" i="13" s="1"/>
  <c r="C124" i="13" l="1"/>
  <c r="H122" i="13"/>
  <c r="E123" i="13"/>
  <c r="D123" i="13"/>
  <c r="T122" i="13"/>
  <c r="G122" i="13"/>
  <c r="F118" i="13"/>
  <c r="I118" i="13" s="1"/>
  <c r="N120" i="13"/>
  <c r="M120" i="13"/>
  <c r="K120" i="13"/>
  <c r="L120" i="13"/>
  <c r="J120" i="13"/>
  <c r="O119" i="13"/>
  <c r="P119" i="13" s="1"/>
  <c r="U119" i="13" s="1"/>
  <c r="C125" i="13" l="1"/>
  <c r="H123" i="13"/>
  <c r="E124" i="13"/>
  <c r="D124" i="13"/>
  <c r="T123" i="13"/>
  <c r="G123" i="13"/>
  <c r="F119" i="13"/>
  <c r="I119" i="13" s="1"/>
  <c r="N121" i="13"/>
  <c r="K121" i="13"/>
  <c r="M121" i="13"/>
  <c r="L121" i="13"/>
  <c r="J121" i="13"/>
  <c r="O120" i="13"/>
  <c r="P120" i="13" s="1"/>
  <c r="U120" i="13" s="1"/>
  <c r="C126" i="13" l="1"/>
  <c r="H124" i="13"/>
  <c r="E125" i="13"/>
  <c r="D125" i="13"/>
  <c r="T124" i="13"/>
  <c r="G124" i="13"/>
  <c r="F120" i="13"/>
  <c r="I120" i="13" s="1"/>
  <c r="N122" i="13"/>
  <c r="M122" i="13"/>
  <c r="K122" i="13"/>
  <c r="J122" i="13"/>
  <c r="L122" i="13"/>
  <c r="O121" i="13"/>
  <c r="P121" i="13" s="1"/>
  <c r="U121" i="13" s="1"/>
  <c r="C127" i="13" l="1"/>
  <c r="H125" i="13"/>
  <c r="E126" i="13"/>
  <c r="D126" i="13"/>
  <c r="T125" i="13"/>
  <c r="G125" i="13"/>
  <c r="F121" i="13"/>
  <c r="I121" i="13" s="1"/>
  <c r="N123" i="13"/>
  <c r="M123" i="13"/>
  <c r="L123" i="13"/>
  <c r="K123" i="13"/>
  <c r="J123" i="13"/>
  <c r="O122" i="13"/>
  <c r="P122" i="13" s="1"/>
  <c r="U122" i="13" s="1"/>
  <c r="C128" i="13" l="1"/>
  <c r="H126" i="13"/>
  <c r="E127" i="13"/>
  <c r="D127" i="13"/>
  <c r="T126" i="13"/>
  <c r="G126" i="13"/>
  <c r="F122" i="13"/>
  <c r="I122" i="13" s="1"/>
  <c r="N124" i="13"/>
  <c r="M124" i="13"/>
  <c r="K124" i="13"/>
  <c r="L124" i="13"/>
  <c r="J124" i="13"/>
  <c r="O123" i="13"/>
  <c r="P123" i="13" s="1"/>
  <c r="U123" i="13" s="1"/>
  <c r="H127" i="13" l="1"/>
  <c r="C129" i="13"/>
  <c r="D128" i="13"/>
  <c r="E128" i="13"/>
  <c r="T127" i="13"/>
  <c r="G127" i="13"/>
  <c r="F123" i="13"/>
  <c r="I123" i="13" s="1"/>
  <c r="N125" i="13"/>
  <c r="J125" i="13"/>
  <c r="L125" i="13"/>
  <c r="K125" i="13"/>
  <c r="M125" i="13"/>
  <c r="O124" i="13"/>
  <c r="P124" i="13" s="1"/>
  <c r="U124" i="13" s="1"/>
  <c r="C130" i="13" l="1"/>
  <c r="H128" i="13"/>
  <c r="E129" i="13"/>
  <c r="D129" i="13"/>
  <c r="H129" i="13" s="1"/>
  <c r="T128" i="13"/>
  <c r="G128" i="13"/>
  <c r="F124" i="13"/>
  <c r="I124" i="13" s="1"/>
  <c r="N126" i="13"/>
  <c r="M126" i="13"/>
  <c r="K126" i="13"/>
  <c r="L126" i="13"/>
  <c r="J126" i="13"/>
  <c r="O125" i="13"/>
  <c r="P125" i="13" s="1"/>
  <c r="U125" i="13" s="1"/>
  <c r="C131" i="13" l="1"/>
  <c r="E130" i="13"/>
  <c r="D130" i="13"/>
  <c r="H130" i="13" s="1"/>
  <c r="T129" i="13"/>
  <c r="G129" i="13"/>
  <c r="F125" i="13"/>
  <c r="I125" i="13" s="1"/>
  <c r="N127" i="13"/>
  <c r="L127" i="13"/>
  <c r="M127" i="13"/>
  <c r="J127" i="13"/>
  <c r="K127" i="13"/>
  <c r="O126" i="13"/>
  <c r="P126" i="13" s="1"/>
  <c r="U126" i="13" s="1"/>
  <c r="C132" i="13" l="1"/>
  <c r="E131" i="13"/>
  <c r="D131" i="13"/>
  <c r="T130" i="13"/>
  <c r="F126" i="13"/>
  <c r="I126" i="13" s="1"/>
  <c r="G130" i="13"/>
  <c r="N128" i="13"/>
  <c r="L128" i="13"/>
  <c r="K128" i="13"/>
  <c r="M128" i="13"/>
  <c r="J128" i="13"/>
  <c r="O127" i="13"/>
  <c r="P127" i="13" s="1"/>
  <c r="U127" i="13" s="1"/>
  <c r="H131" i="13" l="1"/>
  <c r="C133" i="13"/>
  <c r="E132" i="13"/>
  <c r="D132" i="13"/>
  <c r="T131" i="13"/>
  <c r="G131" i="13"/>
  <c r="F127" i="13"/>
  <c r="I127" i="13" s="1"/>
  <c r="N129" i="13"/>
  <c r="L129" i="13"/>
  <c r="M129" i="13"/>
  <c r="K129" i="13"/>
  <c r="J129" i="13"/>
  <c r="O128" i="13"/>
  <c r="P128" i="13" s="1"/>
  <c r="U128" i="13" s="1"/>
  <c r="H132" i="13" l="1"/>
  <c r="C134" i="13"/>
  <c r="E133" i="13"/>
  <c r="D133" i="13"/>
  <c r="T132" i="13"/>
  <c r="G132" i="13"/>
  <c r="F128" i="13"/>
  <c r="I128" i="13" s="1"/>
  <c r="N130" i="13"/>
  <c r="K130" i="13"/>
  <c r="M130" i="13"/>
  <c r="L130" i="13"/>
  <c r="J130" i="13"/>
  <c r="O129" i="13"/>
  <c r="P129" i="13" s="1"/>
  <c r="U129" i="13" s="1"/>
  <c r="C135" i="13" l="1"/>
  <c r="H133" i="13"/>
  <c r="E134" i="13"/>
  <c r="D134" i="13"/>
  <c r="T133" i="13"/>
  <c r="G133" i="13"/>
  <c r="F129" i="13"/>
  <c r="I129" i="13" s="1"/>
  <c r="N131" i="13"/>
  <c r="L131" i="13"/>
  <c r="M131" i="13"/>
  <c r="K131" i="13"/>
  <c r="J131" i="13"/>
  <c r="O130" i="13"/>
  <c r="P130" i="13" s="1"/>
  <c r="U130" i="13" s="1"/>
  <c r="H134" i="13" l="1"/>
  <c r="C136" i="13"/>
  <c r="E135" i="13"/>
  <c r="D135" i="13"/>
  <c r="T134" i="13"/>
  <c r="F130" i="13"/>
  <c r="I130" i="13" s="1"/>
  <c r="G134" i="13"/>
  <c r="N132" i="13"/>
  <c r="K132" i="13"/>
  <c r="M132" i="13"/>
  <c r="L132" i="13"/>
  <c r="J132" i="13"/>
  <c r="O131" i="13"/>
  <c r="P131" i="13" s="1"/>
  <c r="U131" i="13" s="1"/>
  <c r="H135" i="13" l="1"/>
  <c r="C137" i="13"/>
  <c r="E136" i="13"/>
  <c r="D136" i="13"/>
  <c r="T135" i="13"/>
  <c r="G135" i="13"/>
  <c r="F131" i="13"/>
  <c r="I131" i="13" s="1"/>
  <c r="N133" i="13"/>
  <c r="M133" i="13"/>
  <c r="K133" i="13"/>
  <c r="L133" i="13"/>
  <c r="J133" i="13"/>
  <c r="O132" i="13"/>
  <c r="P132" i="13" s="1"/>
  <c r="U132" i="13" s="1"/>
  <c r="H136" i="13" l="1"/>
  <c r="C138" i="13"/>
  <c r="E137" i="13"/>
  <c r="D137" i="13"/>
  <c r="T136" i="13"/>
  <c r="F132" i="13"/>
  <c r="I132" i="13" s="1"/>
  <c r="G136" i="13"/>
  <c r="N134" i="13"/>
  <c r="M134" i="13"/>
  <c r="K134" i="13"/>
  <c r="J134" i="13"/>
  <c r="L134" i="13"/>
  <c r="O133" i="13"/>
  <c r="P133" i="13" s="1"/>
  <c r="U133" i="13" s="1"/>
  <c r="C139" i="13" l="1"/>
  <c r="H137" i="13"/>
  <c r="E138" i="13"/>
  <c r="D138" i="13"/>
  <c r="T137" i="13"/>
  <c r="G137" i="13"/>
  <c r="F133" i="13"/>
  <c r="I133" i="13" s="1"/>
  <c r="N135" i="13"/>
  <c r="K135" i="13"/>
  <c r="L135" i="13"/>
  <c r="J135" i="13"/>
  <c r="M135" i="13"/>
  <c r="O134" i="13"/>
  <c r="P134" i="13" s="1"/>
  <c r="U134" i="13" s="1"/>
  <c r="H138" i="13" l="1"/>
  <c r="C140" i="13"/>
  <c r="E139" i="13"/>
  <c r="D139" i="13"/>
  <c r="T138" i="13"/>
  <c r="G138" i="13"/>
  <c r="F134" i="13"/>
  <c r="I134" i="13" s="1"/>
  <c r="N136" i="13"/>
  <c r="K136" i="13"/>
  <c r="M136" i="13"/>
  <c r="J136" i="13"/>
  <c r="L136" i="13"/>
  <c r="O135" i="13"/>
  <c r="P135" i="13" s="1"/>
  <c r="U135" i="13" s="1"/>
  <c r="C141" i="13" l="1"/>
  <c r="H139" i="13"/>
  <c r="E140" i="13"/>
  <c r="D140" i="13"/>
  <c r="T139" i="13"/>
  <c r="G139" i="13"/>
  <c r="F135" i="13"/>
  <c r="I135" i="13" s="1"/>
  <c r="N137" i="13"/>
  <c r="M137" i="13"/>
  <c r="L137" i="13"/>
  <c r="J137" i="13"/>
  <c r="K137" i="13"/>
  <c r="O136" i="13"/>
  <c r="P136" i="13" s="1"/>
  <c r="U136" i="13" s="1"/>
  <c r="C142" i="13" l="1"/>
  <c r="H140" i="13"/>
  <c r="E141" i="13"/>
  <c r="D141" i="13"/>
  <c r="T140" i="13"/>
  <c r="G140" i="13"/>
  <c r="F136" i="13"/>
  <c r="I136" i="13" s="1"/>
  <c r="N138" i="13"/>
  <c r="L138" i="13"/>
  <c r="M138" i="13"/>
  <c r="K138" i="13"/>
  <c r="J138" i="13"/>
  <c r="O137" i="13"/>
  <c r="P137" i="13" s="1"/>
  <c r="U137" i="13" s="1"/>
  <c r="C143" i="13" l="1"/>
  <c r="H141" i="13"/>
  <c r="E142" i="13"/>
  <c r="D142" i="13"/>
  <c r="T141" i="13"/>
  <c r="G141" i="13"/>
  <c r="F137" i="13"/>
  <c r="I137" i="13" s="1"/>
  <c r="N139" i="13"/>
  <c r="K139" i="13"/>
  <c r="M139" i="13"/>
  <c r="J139" i="13"/>
  <c r="L139" i="13"/>
  <c r="O138" i="13"/>
  <c r="P138" i="13" s="1"/>
  <c r="U138" i="13" s="1"/>
  <c r="C144" i="13" l="1"/>
  <c r="H142" i="13"/>
  <c r="E143" i="13"/>
  <c r="D143" i="13"/>
  <c r="T142" i="13"/>
  <c r="G142" i="13"/>
  <c r="F138" i="13"/>
  <c r="I138" i="13" s="1"/>
  <c r="N140" i="13"/>
  <c r="L140" i="13"/>
  <c r="M140" i="13"/>
  <c r="K140" i="13"/>
  <c r="J140" i="13"/>
  <c r="O139" i="13"/>
  <c r="P139" i="13" s="1"/>
  <c r="U139" i="13" s="1"/>
  <c r="H143" i="13" l="1"/>
  <c r="C145" i="13"/>
  <c r="E144" i="13"/>
  <c r="D144" i="13"/>
  <c r="H144" i="13" s="1"/>
  <c r="T143" i="13"/>
  <c r="F139" i="13"/>
  <c r="I139" i="13" s="1"/>
  <c r="G143" i="13"/>
  <c r="N141" i="13"/>
  <c r="K141" i="13"/>
  <c r="M141" i="13"/>
  <c r="L141" i="13"/>
  <c r="J141" i="13"/>
  <c r="O140" i="13"/>
  <c r="P140" i="13" s="1"/>
  <c r="U140" i="13" s="1"/>
  <c r="C146" i="13" l="1"/>
  <c r="E145" i="13"/>
  <c r="D145" i="13"/>
  <c r="T144" i="13"/>
  <c r="F140" i="13"/>
  <c r="I140" i="13" s="1"/>
  <c r="G144" i="13"/>
  <c r="N142" i="13"/>
  <c r="L142" i="13"/>
  <c r="M142" i="13"/>
  <c r="K142" i="13"/>
  <c r="J142" i="13"/>
  <c r="O141" i="13"/>
  <c r="P141" i="13" s="1"/>
  <c r="U141" i="13" s="1"/>
  <c r="C147" i="13" l="1"/>
  <c r="H145" i="13"/>
  <c r="E146" i="13"/>
  <c r="D146" i="13"/>
  <c r="T145" i="13"/>
  <c r="G145" i="13"/>
  <c r="F141" i="13"/>
  <c r="I141" i="13" s="1"/>
  <c r="N143" i="13"/>
  <c r="J143" i="13"/>
  <c r="K143" i="13"/>
  <c r="M143" i="13"/>
  <c r="L143" i="13"/>
  <c r="O142" i="13"/>
  <c r="P142" i="13" s="1"/>
  <c r="U142" i="13" s="1"/>
  <c r="C148" i="13" l="1"/>
  <c r="H146" i="13"/>
  <c r="E147" i="13"/>
  <c r="D147" i="13"/>
  <c r="T146" i="13"/>
  <c r="G146" i="13"/>
  <c r="F142" i="13"/>
  <c r="I142" i="13" s="1"/>
  <c r="N144" i="13"/>
  <c r="M144" i="13"/>
  <c r="K144" i="13"/>
  <c r="L144" i="13"/>
  <c r="J144" i="13"/>
  <c r="O143" i="13"/>
  <c r="P143" i="13" s="1"/>
  <c r="U143" i="13" s="1"/>
  <c r="H147" i="13" l="1"/>
  <c r="C149" i="13"/>
  <c r="E148" i="13"/>
  <c r="D148" i="13"/>
  <c r="T147" i="13"/>
  <c r="G147" i="13"/>
  <c r="F143" i="13"/>
  <c r="I143" i="13" s="1"/>
  <c r="N145" i="13"/>
  <c r="K145" i="13"/>
  <c r="L145" i="13"/>
  <c r="M145" i="13"/>
  <c r="J145" i="13"/>
  <c r="O144" i="13"/>
  <c r="P144" i="13" s="1"/>
  <c r="U144" i="13" s="1"/>
  <c r="C150" i="13" l="1"/>
  <c r="H148" i="13"/>
  <c r="E149" i="13"/>
  <c r="D149" i="13"/>
  <c r="H149" i="13" s="1"/>
  <c r="T148" i="13"/>
  <c r="G148" i="13"/>
  <c r="F144" i="13"/>
  <c r="I144" i="13" s="1"/>
  <c r="N146" i="13"/>
  <c r="L146" i="13"/>
  <c r="M146" i="13"/>
  <c r="J146" i="13"/>
  <c r="K146" i="13"/>
  <c r="O145" i="13"/>
  <c r="P145" i="13" s="1"/>
  <c r="U145" i="13" s="1"/>
  <c r="C151" i="13" l="1"/>
  <c r="E150" i="13"/>
  <c r="D150" i="13"/>
  <c r="T149" i="13"/>
  <c r="G149" i="13"/>
  <c r="F145" i="13"/>
  <c r="I145" i="13" s="1"/>
  <c r="N147" i="13"/>
  <c r="K147" i="13"/>
  <c r="M147" i="13"/>
  <c r="L147" i="13"/>
  <c r="J147" i="13"/>
  <c r="O146" i="13"/>
  <c r="P146" i="13" s="1"/>
  <c r="U146" i="13" s="1"/>
  <c r="H150" i="13" l="1"/>
  <c r="C152" i="13"/>
  <c r="E151" i="13"/>
  <c r="D151" i="13"/>
  <c r="T150" i="13"/>
  <c r="G150" i="13"/>
  <c r="F146" i="13"/>
  <c r="I146" i="13" s="1"/>
  <c r="N148" i="13"/>
  <c r="L148" i="13"/>
  <c r="M148" i="13"/>
  <c r="K148" i="13"/>
  <c r="J148" i="13"/>
  <c r="O147" i="13"/>
  <c r="P147" i="13" s="1"/>
  <c r="U147" i="13" s="1"/>
  <c r="C153" i="13" l="1"/>
  <c r="H151" i="13"/>
  <c r="D152" i="13"/>
  <c r="E152" i="13"/>
  <c r="T151" i="13"/>
  <c r="F147" i="13"/>
  <c r="I147" i="13" s="1"/>
  <c r="G151" i="13"/>
  <c r="N149" i="13"/>
  <c r="J149" i="13"/>
  <c r="L149" i="13"/>
  <c r="K149" i="13"/>
  <c r="M149" i="13"/>
  <c r="O148" i="13"/>
  <c r="P148" i="13" s="1"/>
  <c r="U148" i="13" s="1"/>
  <c r="C154" i="13" l="1"/>
  <c r="H152" i="13"/>
  <c r="E153" i="13"/>
  <c r="D153" i="13"/>
  <c r="T152" i="13"/>
  <c r="G152" i="13"/>
  <c r="F148" i="13"/>
  <c r="I148" i="13" s="1"/>
  <c r="N150" i="13"/>
  <c r="K150" i="13"/>
  <c r="M150" i="13"/>
  <c r="L150" i="13"/>
  <c r="J150" i="13"/>
  <c r="O149" i="13"/>
  <c r="P149" i="13" s="1"/>
  <c r="U149" i="13" s="1"/>
  <c r="H153" i="13" l="1"/>
  <c r="C155" i="13"/>
  <c r="E154" i="13"/>
  <c r="D154" i="13"/>
  <c r="T153" i="13"/>
  <c r="G153" i="13"/>
  <c r="F149" i="13"/>
  <c r="I149" i="13" s="1"/>
  <c r="N151" i="13"/>
  <c r="L151" i="13"/>
  <c r="M151" i="13"/>
  <c r="J151" i="13"/>
  <c r="K151" i="13"/>
  <c r="O150" i="13"/>
  <c r="P150" i="13" s="1"/>
  <c r="U150" i="13" s="1"/>
  <c r="C156" i="13" l="1"/>
  <c r="H154" i="13"/>
  <c r="E155" i="13"/>
  <c r="D155" i="13"/>
  <c r="T154" i="13"/>
  <c r="G154" i="13"/>
  <c r="F150" i="13"/>
  <c r="I150" i="13" s="1"/>
  <c r="N152" i="13"/>
  <c r="L152" i="13"/>
  <c r="K152" i="13"/>
  <c r="M152" i="13"/>
  <c r="J152" i="13"/>
  <c r="O151" i="13"/>
  <c r="P151" i="13" s="1"/>
  <c r="U151" i="13" s="1"/>
  <c r="H155" i="13" l="1"/>
  <c r="C157" i="13"/>
  <c r="E156" i="13"/>
  <c r="D156" i="13"/>
  <c r="T155" i="13"/>
  <c r="F151" i="13"/>
  <c r="I151" i="13" s="1"/>
  <c r="G155" i="13"/>
  <c r="N153" i="13"/>
  <c r="M153" i="13"/>
  <c r="L153" i="13"/>
  <c r="K153" i="13"/>
  <c r="J153" i="13"/>
  <c r="O152" i="13"/>
  <c r="P152" i="13" s="1"/>
  <c r="U152" i="13" s="1"/>
  <c r="C158" i="13" l="1"/>
  <c r="H156" i="13"/>
  <c r="E157" i="13"/>
  <c r="D157" i="13"/>
  <c r="T156" i="13"/>
  <c r="G156" i="13"/>
  <c r="F152" i="13"/>
  <c r="I152" i="13" s="1"/>
  <c r="N154" i="13"/>
  <c r="M154" i="13"/>
  <c r="K154" i="13"/>
  <c r="J154" i="13"/>
  <c r="L154" i="13"/>
  <c r="O153" i="13"/>
  <c r="P153" i="13" s="1"/>
  <c r="U153" i="13" s="1"/>
  <c r="C159" i="13" l="1"/>
  <c r="H157" i="13"/>
  <c r="E158" i="13"/>
  <c r="D158" i="13"/>
  <c r="T157" i="13"/>
  <c r="G157" i="13"/>
  <c r="F153" i="13"/>
  <c r="I153" i="13" s="1"/>
  <c r="N155" i="13"/>
  <c r="L155" i="13"/>
  <c r="J155" i="13"/>
  <c r="M155" i="13"/>
  <c r="K155" i="13"/>
  <c r="O154" i="13"/>
  <c r="P154" i="13" s="1"/>
  <c r="U154" i="13" s="1"/>
  <c r="C160" i="13" l="1"/>
  <c r="H158" i="13"/>
  <c r="E159" i="13"/>
  <c r="D159" i="13"/>
  <c r="T158" i="13"/>
  <c r="G158" i="13"/>
  <c r="F154" i="13"/>
  <c r="I154" i="13" s="1"/>
  <c r="N156" i="13"/>
  <c r="L156" i="13"/>
  <c r="K156" i="13"/>
  <c r="M156" i="13"/>
  <c r="J156" i="13"/>
  <c r="O155" i="13"/>
  <c r="P155" i="13" s="1"/>
  <c r="U155" i="13" s="1"/>
  <c r="C161" i="13" l="1"/>
  <c r="H159" i="13"/>
  <c r="D160" i="13"/>
  <c r="E160" i="13"/>
  <c r="T159" i="13"/>
  <c r="G159" i="13"/>
  <c r="F155" i="13"/>
  <c r="I155" i="13" s="1"/>
  <c r="N157" i="13"/>
  <c r="L157" i="13"/>
  <c r="M157" i="13"/>
  <c r="J157" i="13"/>
  <c r="K157" i="13"/>
  <c r="O156" i="13"/>
  <c r="P156" i="13" s="1"/>
  <c r="U156" i="13" s="1"/>
  <c r="C162" i="13" l="1"/>
  <c r="H160" i="13"/>
  <c r="E161" i="13"/>
  <c r="D161" i="13"/>
  <c r="T160" i="13"/>
  <c r="G160" i="13"/>
  <c r="F156" i="13"/>
  <c r="I156" i="13" s="1"/>
  <c r="N158" i="13"/>
  <c r="K158" i="13"/>
  <c r="M158" i="13"/>
  <c r="L158" i="13"/>
  <c r="J158" i="13"/>
  <c r="O157" i="13"/>
  <c r="P157" i="13" s="1"/>
  <c r="U157" i="13" s="1"/>
  <c r="C163" i="13" l="1"/>
  <c r="H161" i="13"/>
  <c r="E162" i="13"/>
  <c r="D162" i="13"/>
  <c r="H162" i="13" s="1"/>
  <c r="T161" i="13"/>
  <c r="F157" i="13"/>
  <c r="I157" i="13" s="1"/>
  <c r="G161" i="13"/>
  <c r="N159" i="13"/>
  <c r="L159" i="13"/>
  <c r="M159" i="13"/>
  <c r="J159" i="13"/>
  <c r="K159" i="13"/>
  <c r="O158" i="13"/>
  <c r="P158" i="13" s="1"/>
  <c r="U158" i="13" s="1"/>
  <c r="C164" i="13" l="1"/>
  <c r="E163" i="13"/>
  <c r="D163" i="13"/>
  <c r="H163" i="13" s="1"/>
  <c r="T162" i="13"/>
  <c r="G162" i="13"/>
  <c r="F158" i="13"/>
  <c r="I158" i="13" s="1"/>
  <c r="N160" i="13"/>
  <c r="L160" i="13"/>
  <c r="K160" i="13"/>
  <c r="M160" i="13"/>
  <c r="J160" i="13"/>
  <c r="O159" i="13"/>
  <c r="P159" i="13" s="1"/>
  <c r="U159" i="13" s="1"/>
  <c r="C165" i="13" l="1"/>
  <c r="E164" i="13"/>
  <c r="D164" i="13"/>
  <c r="T163" i="13"/>
  <c r="G163" i="13"/>
  <c r="F159" i="13"/>
  <c r="I159" i="13" s="1"/>
  <c r="N161" i="13"/>
  <c r="K161" i="13"/>
  <c r="M161" i="13"/>
  <c r="J161" i="13"/>
  <c r="L161" i="13"/>
  <c r="O160" i="13"/>
  <c r="P160" i="13" s="1"/>
  <c r="U160" i="13" s="1"/>
  <c r="C166" i="13" l="1"/>
  <c r="H164" i="13"/>
  <c r="E165" i="13"/>
  <c r="D165" i="13"/>
  <c r="T164" i="13"/>
  <c r="F160" i="13"/>
  <c r="I160" i="13" s="1"/>
  <c r="G164" i="13"/>
  <c r="N162" i="13"/>
  <c r="L162" i="13"/>
  <c r="M162" i="13"/>
  <c r="K162" i="13"/>
  <c r="J162" i="13"/>
  <c r="O161" i="13"/>
  <c r="P161" i="13" s="1"/>
  <c r="U161" i="13" s="1"/>
  <c r="C167" i="13" l="1"/>
  <c r="H165" i="13"/>
  <c r="E166" i="13"/>
  <c r="D166" i="13"/>
  <c r="T165" i="13"/>
  <c r="G165" i="13"/>
  <c r="F161" i="13"/>
  <c r="I161" i="13" s="1"/>
  <c r="N163" i="13"/>
  <c r="M163" i="13"/>
  <c r="K163" i="13"/>
  <c r="L163" i="13"/>
  <c r="J163" i="13"/>
  <c r="O162" i="13"/>
  <c r="P162" i="13" s="1"/>
  <c r="U162" i="13" s="1"/>
  <c r="H166" i="13" l="1"/>
  <c r="C168" i="13"/>
  <c r="E167" i="13"/>
  <c r="D167" i="13"/>
  <c r="T166" i="13"/>
  <c r="G166" i="13"/>
  <c r="F162" i="13"/>
  <c r="I162" i="13" s="1"/>
  <c r="N164" i="13"/>
  <c r="M164" i="13"/>
  <c r="K164" i="13"/>
  <c r="L164" i="13"/>
  <c r="J164" i="13"/>
  <c r="O163" i="13"/>
  <c r="P163" i="13" s="1"/>
  <c r="U163" i="13" s="1"/>
  <c r="C169" i="13" l="1"/>
  <c r="H167" i="13"/>
  <c r="D168" i="13"/>
  <c r="E168" i="13"/>
  <c r="T167" i="13"/>
  <c r="G167" i="13"/>
  <c r="F163" i="13"/>
  <c r="I163" i="13" s="1"/>
  <c r="N165" i="13"/>
  <c r="K165" i="13"/>
  <c r="J165" i="13"/>
  <c r="L165" i="13"/>
  <c r="M165" i="13"/>
  <c r="O164" i="13"/>
  <c r="P164" i="13" s="1"/>
  <c r="U164" i="13" s="1"/>
  <c r="C170" i="13" l="1"/>
  <c r="H168" i="13"/>
  <c r="E169" i="13"/>
  <c r="D169" i="13"/>
  <c r="T168" i="13"/>
  <c r="G168" i="13"/>
  <c r="F164" i="13"/>
  <c r="I164" i="13" s="1"/>
  <c r="N166" i="13"/>
  <c r="L166" i="13"/>
  <c r="M166" i="13"/>
  <c r="J166" i="13"/>
  <c r="K166" i="13"/>
  <c r="O165" i="13"/>
  <c r="P165" i="13" s="1"/>
  <c r="U165" i="13" s="1"/>
  <c r="C171" i="13" l="1"/>
  <c r="H169" i="13"/>
  <c r="E170" i="13"/>
  <c r="D170" i="13"/>
  <c r="H170" i="13" s="1"/>
  <c r="T169" i="13"/>
  <c r="G169" i="13"/>
  <c r="F165" i="13"/>
  <c r="I165" i="13" s="1"/>
  <c r="N167" i="13"/>
  <c r="K167" i="13"/>
  <c r="J167" i="13"/>
  <c r="M167" i="13"/>
  <c r="L167" i="13"/>
  <c r="O166" i="13"/>
  <c r="P166" i="13" s="1"/>
  <c r="U166" i="13" s="1"/>
  <c r="C172" i="13" l="1"/>
  <c r="E171" i="13"/>
  <c r="D171" i="13"/>
  <c r="H171" i="13" s="1"/>
  <c r="T170" i="13"/>
  <c r="G170" i="13"/>
  <c r="F166" i="13"/>
  <c r="I166" i="13" s="1"/>
  <c r="N168" i="13"/>
  <c r="K168" i="13"/>
  <c r="L168" i="13"/>
  <c r="M168" i="13"/>
  <c r="J168" i="13"/>
  <c r="O167" i="13"/>
  <c r="P167" i="13" s="1"/>
  <c r="U167" i="13" s="1"/>
  <c r="C173" i="13" l="1"/>
  <c r="E172" i="13"/>
  <c r="D172" i="13"/>
  <c r="H172" i="13" s="1"/>
  <c r="T171" i="13"/>
  <c r="G171" i="13"/>
  <c r="F167" i="13"/>
  <c r="I167" i="13" s="1"/>
  <c r="N169" i="13"/>
  <c r="L169" i="13"/>
  <c r="M169" i="13"/>
  <c r="K169" i="13"/>
  <c r="J169" i="13"/>
  <c r="O168" i="13"/>
  <c r="P168" i="13" s="1"/>
  <c r="U168" i="13" s="1"/>
  <c r="C174" i="13" l="1"/>
  <c r="E173" i="13"/>
  <c r="D173" i="13"/>
  <c r="T172" i="13"/>
  <c r="G172" i="13"/>
  <c r="F168" i="13"/>
  <c r="I168" i="13" s="1"/>
  <c r="N170" i="13"/>
  <c r="L170" i="13"/>
  <c r="J170" i="13"/>
  <c r="M170" i="13"/>
  <c r="K170" i="13"/>
  <c r="O169" i="13"/>
  <c r="P169" i="13" s="1"/>
  <c r="U169" i="13" s="1"/>
  <c r="C175" i="13" l="1"/>
  <c r="H173" i="13"/>
  <c r="E174" i="13"/>
  <c r="D174" i="13"/>
  <c r="T173" i="13"/>
  <c r="G173" i="13"/>
  <c r="F169" i="13"/>
  <c r="I169" i="13" s="1"/>
  <c r="N171" i="13"/>
  <c r="L171" i="13"/>
  <c r="K171" i="13"/>
  <c r="M171" i="13"/>
  <c r="J171" i="13"/>
  <c r="O170" i="13"/>
  <c r="P170" i="13" s="1"/>
  <c r="U170" i="13" s="1"/>
  <c r="H174" i="13" l="1"/>
  <c r="C176" i="13"/>
  <c r="E175" i="13"/>
  <c r="D175" i="13"/>
  <c r="T174" i="13"/>
  <c r="G174" i="13"/>
  <c r="F170" i="13"/>
  <c r="I170" i="13" s="1"/>
  <c r="N172" i="13"/>
  <c r="M172" i="13"/>
  <c r="K172" i="13"/>
  <c r="L172" i="13"/>
  <c r="J172" i="13"/>
  <c r="O171" i="13"/>
  <c r="P171" i="13" s="1"/>
  <c r="U171" i="13" s="1"/>
  <c r="C177" i="13" l="1"/>
  <c r="H175" i="13"/>
  <c r="D176" i="13"/>
  <c r="E176" i="13"/>
  <c r="T175" i="13"/>
  <c r="G175" i="13"/>
  <c r="F171" i="13"/>
  <c r="I171" i="13" s="1"/>
  <c r="N173" i="13"/>
  <c r="J173" i="13"/>
  <c r="L173" i="13"/>
  <c r="K173" i="13"/>
  <c r="M173" i="13"/>
  <c r="O172" i="13"/>
  <c r="P172" i="13" s="1"/>
  <c r="U172" i="13" s="1"/>
  <c r="C178" i="13" l="1"/>
  <c r="H176" i="13"/>
  <c r="E177" i="13"/>
  <c r="D177" i="13"/>
  <c r="T176" i="13"/>
  <c r="G176" i="13"/>
  <c r="F172" i="13"/>
  <c r="I172" i="13" s="1"/>
  <c r="N174" i="13"/>
  <c r="M174" i="13"/>
  <c r="J174" i="13"/>
  <c r="K174" i="13"/>
  <c r="L174" i="13"/>
  <c r="O173" i="13"/>
  <c r="P173" i="13" s="1"/>
  <c r="U173" i="13" s="1"/>
  <c r="H177" i="13" l="1"/>
  <c r="C179" i="13"/>
  <c r="E178" i="13"/>
  <c r="D178" i="13"/>
  <c r="T177" i="13"/>
  <c r="G177" i="13"/>
  <c r="F173" i="13"/>
  <c r="I173" i="13" s="1"/>
  <c r="N175" i="13"/>
  <c r="K175" i="13"/>
  <c r="L175" i="13"/>
  <c r="J175" i="13"/>
  <c r="M175" i="13"/>
  <c r="O174" i="13"/>
  <c r="P174" i="13" s="1"/>
  <c r="U174" i="13" s="1"/>
  <c r="H178" i="13" l="1"/>
  <c r="C180" i="13"/>
  <c r="E179" i="13"/>
  <c r="D179" i="13"/>
  <c r="T178" i="13"/>
  <c r="G178" i="13"/>
  <c r="F174" i="13"/>
  <c r="I174" i="13" s="1"/>
  <c r="N176" i="13"/>
  <c r="J176" i="13"/>
  <c r="K176" i="13"/>
  <c r="M176" i="13"/>
  <c r="L176" i="13"/>
  <c r="O175" i="13"/>
  <c r="P175" i="13" s="1"/>
  <c r="U175" i="13" s="1"/>
  <c r="C181" i="13" l="1"/>
  <c r="H179" i="13"/>
  <c r="E180" i="13"/>
  <c r="D180" i="13"/>
  <c r="T179" i="13"/>
  <c r="G179" i="13"/>
  <c r="F175" i="13"/>
  <c r="I175" i="13" s="1"/>
  <c r="N177" i="13"/>
  <c r="K177" i="13"/>
  <c r="L177" i="13"/>
  <c r="M177" i="13"/>
  <c r="J177" i="13"/>
  <c r="O176" i="13"/>
  <c r="P176" i="13" s="1"/>
  <c r="U176" i="13" s="1"/>
  <c r="C182" i="13" l="1"/>
  <c r="H180" i="13"/>
  <c r="E181" i="13"/>
  <c r="D181" i="13"/>
  <c r="T180" i="13"/>
  <c r="F176" i="13"/>
  <c r="I176" i="13" s="1"/>
  <c r="G180" i="13"/>
  <c r="N178" i="13"/>
  <c r="K178" i="13"/>
  <c r="L178" i="13"/>
  <c r="J178" i="13"/>
  <c r="M178" i="13"/>
  <c r="O177" i="13"/>
  <c r="P177" i="13" s="1"/>
  <c r="U177" i="13" s="1"/>
  <c r="C183" i="13" l="1"/>
  <c r="H181" i="13"/>
  <c r="E182" i="13"/>
  <c r="D182" i="13"/>
  <c r="T181" i="13"/>
  <c r="F177" i="13"/>
  <c r="I177" i="13" s="1"/>
  <c r="G181" i="13"/>
  <c r="N179" i="13"/>
  <c r="L179" i="13"/>
  <c r="M179" i="13"/>
  <c r="J179" i="13"/>
  <c r="K179" i="13"/>
  <c r="O178" i="13"/>
  <c r="P178" i="13" s="1"/>
  <c r="U178" i="13" s="1"/>
  <c r="C184" i="13" l="1"/>
  <c r="H182" i="13"/>
  <c r="E183" i="13"/>
  <c r="D183" i="13"/>
  <c r="H183" i="13" s="1"/>
  <c r="T182" i="13"/>
  <c r="G182" i="13"/>
  <c r="F178" i="13"/>
  <c r="I178" i="13" s="1"/>
  <c r="N180" i="13"/>
  <c r="K180" i="13"/>
  <c r="M180" i="13"/>
  <c r="L180" i="13"/>
  <c r="J180" i="13"/>
  <c r="O179" i="13"/>
  <c r="P179" i="13" s="1"/>
  <c r="U179" i="13" s="1"/>
  <c r="C185" i="13" l="1"/>
  <c r="E184" i="13"/>
  <c r="D184" i="13"/>
  <c r="T183" i="13"/>
  <c r="G183" i="13"/>
  <c r="F179" i="13"/>
  <c r="I179" i="13" s="1"/>
  <c r="N181" i="13"/>
  <c r="J181" i="13"/>
  <c r="M181" i="13"/>
  <c r="L181" i="13"/>
  <c r="K181" i="13"/>
  <c r="O180" i="13"/>
  <c r="P180" i="13" s="1"/>
  <c r="U180" i="13" s="1"/>
  <c r="H184" i="13" l="1"/>
  <c r="C186" i="13"/>
  <c r="E185" i="13"/>
  <c r="D185" i="13"/>
  <c r="H185" i="13" s="1"/>
  <c r="T184" i="13"/>
  <c r="F180" i="13"/>
  <c r="I180" i="13" s="1"/>
  <c r="G184" i="13"/>
  <c r="N182" i="13"/>
  <c r="L182" i="13"/>
  <c r="M182" i="13"/>
  <c r="J182" i="13"/>
  <c r="K182" i="13"/>
  <c r="O181" i="13"/>
  <c r="P181" i="13" s="1"/>
  <c r="U181" i="13" s="1"/>
  <c r="C187" i="13" l="1"/>
  <c r="E186" i="13"/>
  <c r="D186" i="13"/>
  <c r="T185" i="13"/>
  <c r="G185" i="13"/>
  <c r="F181" i="13"/>
  <c r="I181" i="13" s="1"/>
  <c r="N183" i="13"/>
  <c r="M183" i="13"/>
  <c r="K183" i="13"/>
  <c r="L183" i="13"/>
  <c r="J183" i="13"/>
  <c r="O182" i="13"/>
  <c r="P182" i="13" s="1"/>
  <c r="U182" i="13" s="1"/>
  <c r="C188" i="13" l="1"/>
  <c r="H186" i="13"/>
  <c r="E187" i="13"/>
  <c r="D187" i="13"/>
  <c r="T186" i="13"/>
  <c r="G186" i="13"/>
  <c r="F182" i="13"/>
  <c r="I182" i="13" s="1"/>
  <c r="N184" i="13"/>
  <c r="M184" i="13"/>
  <c r="L184" i="13"/>
  <c r="K184" i="13"/>
  <c r="J184" i="13"/>
  <c r="O183" i="13"/>
  <c r="P183" i="13" s="1"/>
  <c r="U183" i="13" s="1"/>
  <c r="C189" i="13" l="1"/>
  <c r="H187" i="13"/>
  <c r="E188" i="13"/>
  <c r="D188" i="13"/>
  <c r="T187" i="13"/>
  <c r="G187" i="13"/>
  <c r="F183" i="13"/>
  <c r="I183" i="13" s="1"/>
  <c r="N185" i="13"/>
  <c r="L185" i="13"/>
  <c r="M185" i="13"/>
  <c r="K185" i="13"/>
  <c r="J185" i="13"/>
  <c r="O184" i="13"/>
  <c r="P184" i="13" s="1"/>
  <c r="U184" i="13" s="1"/>
  <c r="H188" i="13" l="1"/>
  <c r="C190" i="13"/>
  <c r="E189" i="13"/>
  <c r="D189" i="13"/>
  <c r="T188" i="13"/>
  <c r="G188" i="13"/>
  <c r="F184" i="13"/>
  <c r="I184" i="13" s="1"/>
  <c r="N186" i="13"/>
  <c r="M186" i="13"/>
  <c r="L186" i="13"/>
  <c r="J186" i="13"/>
  <c r="K186" i="13"/>
  <c r="O185" i="13"/>
  <c r="P185" i="13" s="1"/>
  <c r="U185" i="13" s="1"/>
  <c r="C191" i="13" l="1"/>
  <c r="H189" i="13"/>
  <c r="E190" i="13"/>
  <c r="D190" i="13"/>
  <c r="T189" i="13"/>
  <c r="G189" i="13"/>
  <c r="F185" i="13"/>
  <c r="I185" i="13" s="1"/>
  <c r="N187" i="13"/>
  <c r="M187" i="13"/>
  <c r="L187" i="13"/>
  <c r="K187" i="13"/>
  <c r="J187" i="13"/>
  <c r="O186" i="13"/>
  <c r="P186" i="13" s="1"/>
  <c r="U186" i="13" s="1"/>
  <c r="C192" i="13" l="1"/>
  <c r="H190" i="13"/>
  <c r="E191" i="13"/>
  <c r="D191" i="13"/>
  <c r="T190" i="13"/>
  <c r="G190" i="13"/>
  <c r="F186" i="13"/>
  <c r="I186" i="13" s="1"/>
  <c r="N188" i="13"/>
  <c r="L188" i="13"/>
  <c r="M188" i="13"/>
  <c r="J188" i="13"/>
  <c r="K188" i="13"/>
  <c r="O187" i="13"/>
  <c r="P187" i="13" s="1"/>
  <c r="U187" i="13" s="1"/>
  <c r="C193" i="13" l="1"/>
  <c r="H191" i="13"/>
  <c r="D192" i="13"/>
  <c r="E192" i="13"/>
  <c r="T191" i="13"/>
  <c r="G191" i="13"/>
  <c r="F187" i="13"/>
  <c r="I187" i="13" s="1"/>
  <c r="N189" i="13"/>
  <c r="M189" i="13"/>
  <c r="J189" i="13"/>
  <c r="L189" i="13"/>
  <c r="K189" i="13"/>
  <c r="O188" i="13"/>
  <c r="P188" i="13" s="1"/>
  <c r="U188" i="13" s="1"/>
  <c r="C194" i="13" l="1"/>
  <c r="H192" i="13"/>
  <c r="E193" i="13"/>
  <c r="D193" i="13"/>
  <c r="T192" i="13"/>
  <c r="G192" i="13"/>
  <c r="F188" i="13"/>
  <c r="I188" i="13" s="1"/>
  <c r="N190" i="13"/>
  <c r="M190" i="13"/>
  <c r="L190" i="13"/>
  <c r="K190" i="13"/>
  <c r="J190" i="13"/>
  <c r="O189" i="13"/>
  <c r="P189" i="13" s="1"/>
  <c r="U189" i="13" s="1"/>
  <c r="H193" i="13" l="1"/>
  <c r="C195" i="13"/>
  <c r="E194" i="13"/>
  <c r="D194" i="13"/>
  <c r="H194" i="13" s="1"/>
  <c r="T193" i="13"/>
  <c r="G193" i="13"/>
  <c r="F189" i="13"/>
  <c r="I189" i="13" s="1"/>
  <c r="N191" i="13"/>
  <c r="L191" i="13"/>
  <c r="K191" i="13"/>
  <c r="M191" i="13"/>
  <c r="J191" i="13"/>
  <c r="O190" i="13"/>
  <c r="P190" i="13" s="1"/>
  <c r="U190" i="13" s="1"/>
  <c r="C196" i="13" l="1"/>
  <c r="E195" i="13"/>
  <c r="D195" i="13"/>
  <c r="T194" i="13"/>
  <c r="G194" i="13"/>
  <c r="F190" i="13"/>
  <c r="I190" i="13" s="1"/>
  <c r="N192" i="13"/>
  <c r="M192" i="13"/>
  <c r="K192" i="13"/>
  <c r="L192" i="13"/>
  <c r="J192" i="13"/>
  <c r="O191" i="13"/>
  <c r="P191" i="13" s="1"/>
  <c r="U191" i="13" s="1"/>
  <c r="C197" i="13" l="1"/>
  <c r="H195" i="13"/>
  <c r="E196" i="13"/>
  <c r="D196" i="13"/>
  <c r="H196" i="13" s="1"/>
  <c r="T195" i="13"/>
  <c r="G195" i="13"/>
  <c r="F191" i="13"/>
  <c r="I191" i="13" s="1"/>
  <c r="N193" i="13"/>
  <c r="M193" i="13"/>
  <c r="L193" i="13"/>
  <c r="K193" i="13"/>
  <c r="J193" i="13"/>
  <c r="O192" i="13"/>
  <c r="P192" i="13" s="1"/>
  <c r="U192" i="13" s="1"/>
  <c r="C198" i="13" l="1"/>
  <c r="E197" i="13"/>
  <c r="D197" i="13"/>
  <c r="T196" i="13"/>
  <c r="G196" i="13"/>
  <c r="F192" i="13"/>
  <c r="I192" i="13" s="1"/>
  <c r="N194" i="13"/>
  <c r="M194" i="13"/>
  <c r="K194" i="13"/>
  <c r="J194" i="13"/>
  <c r="L194" i="13"/>
  <c r="O193" i="13"/>
  <c r="P193" i="13" s="1"/>
  <c r="U193" i="13" s="1"/>
  <c r="H197" i="13" l="1"/>
  <c r="C199" i="13"/>
  <c r="E198" i="13"/>
  <c r="D198" i="13"/>
  <c r="T197" i="13"/>
  <c r="G197" i="13"/>
  <c r="F193" i="13"/>
  <c r="I193" i="13" s="1"/>
  <c r="N195" i="13"/>
  <c r="M195" i="13"/>
  <c r="L195" i="13"/>
  <c r="K195" i="13"/>
  <c r="J195" i="13"/>
  <c r="O194" i="13"/>
  <c r="P194" i="13" s="1"/>
  <c r="U194" i="13" s="1"/>
  <c r="C200" i="13" l="1"/>
  <c r="H198" i="13"/>
  <c r="E199" i="13"/>
  <c r="D199" i="13"/>
  <c r="T198" i="13"/>
  <c r="G198" i="13"/>
  <c r="F194" i="13"/>
  <c r="I194" i="13" s="1"/>
  <c r="N196" i="13"/>
  <c r="L196" i="13"/>
  <c r="M196" i="13"/>
  <c r="K196" i="13"/>
  <c r="J196" i="13"/>
  <c r="O195" i="13"/>
  <c r="P195" i="13" s="1"/>
  <c r="U195" i="13" s="1"/>
  <c r="H199" i="13" l="1"/>
  <c r="C201" i="13"/>
  <c r="E200" i="13"/>
  <c r="D200" i="13"/>
  <c r="T199" i="13"/>
  <c r="G199" i="13"/>
  <c r="F195" i="13"/>
  <c r="I195" i="13" s="1"/>
  <c r="N197" i="13"/>
  <c r="M197" i="13"/>
  <c r="J197" i="13"/>
  <c r="L197" i="13"/>
  <c r="K197" i="13"/>
  <c r="O196" i="13"/>
  <c r="P196" i="13" s="1"/>
  <c r="U196" i="13" s="1"/>
  <c r="H200" i="13" l="1"/>
  <c r="C202" i="13"/>
  <c r="E201" i="13"/>
  <c r="D201" i="13"/>
  <c r="T200" i="13"/>
  <c r="G200" i="13"/>
  <c r="F196" i="13"/>
  <c r="I196" i="13" s="1"/>
  <c r="N198" i="13"/>
  <c r="L198" i="13"/>
  <c r="K198" i="13"/>
  <c r="M198" i="13"/>
  <c r="J198" i="13"/>
  <c r="O197" i="13"/>
  <c r="P197" i="13" s="1"/>
  <c r="U197" i="13" s="1"/>
  <c r="C203" i="13" l="1"/>
  <c r="H201" i="13"/>
  <c r="E202" i="13"/>
  <c r="D202" i="13"/>
  <c r="T201" i="13"/>
  <c r="G201" i="13"/>
  <c r="F197" i="13"/>
  <c r="I197" i="13" s="1"/>
  <c r="N199" i="13"/>
  <c r="L199" i="13"/>
  <c r="M199" i="13"/>
  <c r="K199" i="13"/>
  <c r="J199" i="13"/>
  <c r="O198" i="13"/>
  <c r="P198" i="13" s="1"/>
  <c r="U198" i="13" s="1"/>
  <c r="C204" i="13" l="1"/>
  <c r="H202" i="13"/>
  <c r="E203" i="13"/>
  <c r="D203" i="13"/>
  <c r="T202" i="13"/>
  <c r="G202" i="13"/>
  <c r="F198" i="13"/>
  <c r="I198" i="13" s="1"/>
  <c r="N200" i="13"/>
  <c r="K200" i="13"/>
  <c r="M200" i="13"/>
  <c r="J200" i="13"/>
  <c r="L200" i="13"/>
  <c r="O199" i="13"/>
  <c r="P199" i="13" s="1"/>
  <c r="U199" i="13" s="1"/>
  <c r="H203" i="13" l="1"/>
  <c r="C205" i="13"/>
  <c r="E204" i="13"/>
  <c r="D204" i="13"/>
  <c r="T203" i="13"/>
  <c r="G203" i="13"/>
  <c r="F199" i="13"/>
  <c r="I199" i="13" s="1"/>
  <c r="N201" i="13"/>
  <c r="L201" i="13"/>
  <c r="M201" i="13"/>
  <c r="K201" i="13"/>
  <c r="J201" i="13"/>
  <c r="O200" i="13"/>
  <c r="P200" i="13" s="1"/>
  <c r="U200" i="13" s="1"/>
  <c r="C206" i="13" l="1"/>
  <c r="H204" i="13"/>
  <c r="E205" i="13"/>
  <c r="D205" i="13"/>
  <c r="T204" i="13"/>
  <c r="G204" i="13"/>
  <c r="F200" i="13"/>
  <c r="I200" i="13" s="1"/>
  <c r="N202" i="13"/>
  <c r="K202" i="13"/>
  <c r="M202" i="13"/>
  <c r="L202" i="13"/>
  <c r="J202" i="13"/>
  <c r="O201" i="13"/>
  <c r="P201" i="13" s="1"/>
  <c r="U201" i="13" s="1"/>
  <c r="C207" i="13" l="1"/>
  <c r="H205" i="13"/>
  <c r="E206" i="13"/>
  <c r="D206" i="13"/>
  <c r="T205" i="13"/>
  <c r="G205" i="13"/>
  <c r="F201" i="13"/>
  <c r="I201" i="13" s="1"/>
  <c r="N203" i="13"/>
  <c r="M203" i="13"/>
  <c r="K203" i="13"/>
  <c r="J203" i="13"/>
  <c r="L203" i="13"/>
  <c r="O202" i="13"/>
  <c r="P202" i="13" s="1"/>
  <c r="U202" i="13" s="1"/>
  <c r="H206" i="13" l="1"/>
  <c r="C208" i="13"/>
  <c r="E207" i="13"/>
  <c r="D207" i="13"/>
  <c r="T206" i="13"/>
  <c r="G206" i="13"/>
  <c r="F202" i="13"/>
  <c r="I202" i="13" s="1"/>
  <c r="N204" i="13"/>
  <c r="K204" i="13"/>
  <c r="J204" i="13"/>
  <c r="L204" i="13"/>
  <c r="M204" i="13"/>
  <c r="O203" i="13"/>
  <c r="P203" i="13" s="1"/>
  <c r="U203" i="13" s="1"/>
  <c r="H207" i="13" l="1"/>
  <c r="C209" i="13"/>
  <c r="E208" i="13"/>
  <c r="D208" i="13"/>
  <c r="T207" i="13"/>
  <c r="G207" i="13"/>
  <c r="F203" i="13"/>
  <c r="I203" i="13" s="1"/>
  <c r="N205" i="13"/>
  <c r="L205" i="13"/>
  <c r="K205" i="13"/>
  <c r="J205" i="13"/>
  <c r="M205" i="13"/>
  <c r="O204" i="13"/>
  <c r="P204" i="13" s="1"/>
  <c r="U204" i="13" s="1"/>
  <c r="C210" i="13" l="1"/>
  <c r="H208" i="13"/>
  <c r="E209" i="13"/>
  <c r="D209" i="13"/>
  <c r="T208" i="13"/>
  <c r="G208" i="13"/>
  <c r="F204" i="13"/>
  <c r="I204" i="13" s="1"/>
  <c r="N206" i="13"/>
  <c r="L206" i="13"/>
  <c r="K206" i="13"/>
  <c r="M206" i="13"/>
  <c r="J206" i="13"/>
  <c r="O205" i="13"/>
  <c r="P205" i="13" s="1"/>
  <c r="U205" i="13" s="1"/>
  <c r="H209" i="13" l="1"/>
  <c r="C211" i="13"/>
  <c r="E210" i="13"/>
  <c r="D210" i="13"/>
  <c r="T209" i="13"/>
  <c r="G209" i="13"/>
  <c r="F205" i="13"/>
  <c r="I205" i="13" s="1"/>
  <c r="N207" i="13"/>
  <c r="M207" i="13"/>
  <c r="K207" i="13"/>
  <c r="L207" i="13"/>
  <c r="J207" i="13"/>
  <c r="O206" i="13"/>
  <c r="P206" i="13" s="1"/>
  <c r="U206" i="13" s="1"/>
  <c r="C212" i="13" l="1"/>
  <c r="H210" i="13"/>
  <c r="E211" i="13"/>
  <c r="D211" i="13"/>
  <c r="T210" i="13"/>
  <c r="G210" i="13"/>
  <c r="F206" i="13"/>
  <c r="I206" i="13" s="1"/>
  <c r="N208" i="13"/>
  <c r="K208" i="13"/>
  <c r="M208" i="13"/>
  <c r="J208" i="13"/>
  <c r="L208" i="13"/>
  <c r="O207" i="13"/>
  <c r="P207" i="13" s="1"/>
  <c r="U207" i="13" s="1"/>
  <c r="H211" i="13" l="1"/>
  <c r="C213" i="13"/>
  <c r="E212" i="13"/>
  <c r="D212" i="13"/>
  <c r="T211" i="13"/>
  <c r="G211" i="13"/>
  <c r="F207" i="13"/>
  <c r="I207" i="13" s="1"/>
  <c r="N209" i="13"/>
  <c r="L209" i="13"/>
  <c r="M209" i="13"/>
  <c r="K209" i="13"/>
  <c r="J209" i="13"/>
  <c r="O208" i="13"/>
  <c r="P208" i="13" s="1"/>
  <c r="U208" i="13" s="1"/>
  <c r="C214" i="13" l="1"/>
  <c r="H212" i="13"/>
  <c r="E213" i="13"/>
  <c r="D213" i="13"/>
  <c r="T212" i="13"/>
  <c r="G212" i="13"/>
  <c r="F208" i="13"/>
  <c r="I208" i="13" s="1"/>
  <c r="N210" i="13"/>
  <c r="L210" i="13"/>
  <c r="M210" i="13"/>
  <c r="K210" i="13"/>
  <c r="J210" i="13"/>
  <c r="O209" i="13"/>
  <c r="P209" i="13" s="1"/>
  <c r="U209" i="13" s="1"/>
  <c r="H213" i="13" l="1"/>
  <c r="C215" i="13"/>
  <c r="E214" i="13"/>
  <c r="D214" i="13"/>
  <c r="H214" i="13" s="1"/>
  <c r="T213" i="13"/>
  <c r="G213" i="13"/>
  <c r="F209" i="13"/>
  <c r="I209" i="13" s="1"/>
  <c r="N211" i="13"/>
  <c r="K211" i="13"/>
  <c r="M211" i="13"/>
  <c r="L211" i="13"/>
  <c r="J211" i="13"/>
  <c r="O210" i="13"/>
  <c r="P210" i="13" s="1"/>
  <c r="U210" i="13" s="1"/>
  <c r="C216" i="13" l="1"/>
  <c r="E215" i="13"/>
  <c r="D215" i="13"/>
  <c r="T214" i="13"/>
  <c r="G214" i="13"/>
  <c r="F210" i="13"/>
  <c r="I210" i="13" s="1"/>
  <c r="N212" i="13"/>
  <c r="L212" i="13"/>
  <c r="M212" i="13"/>
  <c r="K212" i="13"/>
  <c r="J212" i="13"/>
  <c r="O211" i="13"/>
  <c r="P211" i="13" s="1"/>
  <c r="U211" i="13" s="1"/>
  <c r="H215" i="13" l="1"/>
  <c r="C217" i="13"/>
  <c r="D216" i="13"/>
  <c r="E216" i="13"/>
  <c r="T215" i="13"/>
  <c r="G215" i="13"/>
  <c r="F211" i="13"/>
  <c r="I211" i="13" s="1"/>
  <c r="N213" i="13"/>
  <c r="J213" i="13"/>
  <c r="M213" i="13"/>
  <c r="K213" i="13"/>
  <c r="L213" i="13"/>
  <c r="O212" i="13"/>
  <c r="P212" i="13" s="1"/>
  <c r="U212" i="13" s="1"/>
  <c r="C218" i="13" l="1"/>
  <c r="H216" i="13"/>
  <c r="E217" i="13"/>
  <c r="D217" i="13"/>
  <c r="T216" i="13"/>
  <c r="G216" i="13"/>
  <c r="F212" i="13"/>
  <c r="I212" i="13" s="1"/>
  <c r="N214" i="13"/>
  <c r="M214" i="13"/>
  <c r="K214" i="13"/>
  <c r="L214" i="13"/>
  <c r="J214" i="13"/>
  <c r="O213" i="13"/>
  <c r="P213" i="13" s="1"/>
  <c r="U213" i="13" s="1"/>
  <c r="C219" i="13" l="1"/>
  <c r="H217" i="13"/>
  <c r="E218" i="13"/>
  <c r="D218" i="13"/>
  <c r="H218" i="13" s="1"/>
  <c r="T217" i="13"/>
  <c r="G217" i="13"/>
  <c r="F213" i="13"/>
  <c r="I213" i="13" s="1"/>
  <c r="N215" i="13"/>
  <c r="L215" i="13"/>
  <c r="K215" i="13"/>
  <c r="J215" i="13"/>
  <c r="M215" i="13"/>
  <c r="O214" i="13"/>
  <c r="P214" i="13" s="1"/>
  <c r="U214" i="13" s="1"/>
  <c r="C220" i="13" l="1"/>
  <c r="E219" i="13"/>
  <c r="D219" i="13"/>
  <c r="T218" i="13"/>
  <c r="G218" i="13"/>
  <c r="F214" i="13"/>
  <c r="I214" i="13" s="1"/>
  <c r="N216" i="13"/>
  <c r="L216" i="13"/>
  <c r="M216" i="13"/>
  <c r="J216" i="13"/>
  <c r="K216" i="13"/>
  <c r="O215" i="13"/>
  <c r="P215" i="13" s="1"/>
  <c r="U215" i="13" s="1"/>
  <c r="C221" i="13" l="1"/>
  <c r="H219" i="13"/>
  <c r="E220" i="13"/>
  <c r="D220" i="13"/>
  <c r="H220" i="13" s="1"/>
  <c r="T219" i="13"/>
  <c r="G219" i="13"/>
  <c r="F215" i="13"/>
  <c r="I215" i="13" s="1"/>
  <c r="N217" i="13"/>
  <c r="L217" i="13"/>
  <c r="K217" i="13"/>
  <c r="M217" i="13"/>
  <c r="J217" i="13"/>
  <c r="O216" i="13"/>
  <c r="P216" i="13" s="1"/>
  <c r="U216" i="13" s="1"/>
  <c r="C222" i="13" l="1"/>
  <c r="E221" i="13"/>
  <c r="D221" i="13"/>
  <c r="T220" i="13"/>
  <c r="G220" i="13"/>
  <c r="F216" i="13"/>
  <c r="I216" i="13" s="1"/>
  <c r="N218" i="13"/>
  <c r="L218" i="13"/>
  <c r="M218" i="13"/>
  <c r="K218" i="13"/>
  <c r="J218" i="13"/>
  <c r="O217" i="13"/>
  <c r="P217" i="13" s="1"/>
  <c r="U217" i="13" s="1"/>
  <c r="C223" i="13" l="1"/>
  <c r="H221" i="13"/>
  <c r="E222" i="13"/>
  <c r="D222" i="13"/>
  <c r="T221" i="13"/>
  <c r="G221" i="13"/>
  <c r="F217" i="13"/>
  <c r="I217" i="13" s="1"/>
  <c r="N219" i="13"/>
  <c r="K219" i="13"/>
  <c r="M219" i="13"/>
  <c r="L219" i="13"/>
  <c r="J219" i="13"/>
  <c r="O218" i="13"/>
  <c r="P218" i="13" s="1"/>
  <c r="U218" i="13" s="1"/>
  <c r="C224" i="13" l="1"/>
  <c r="H222" i="13"/>
  <c r="E223" i="13"/>
  <c r="D223" i="13"/>
  <c r="T222" i="13"/>
  <c r="G222" i="13"/>
  <c r="F218" i="13"/>
  <c r="I218" i="13" s="1"/>
  <c r="N220" i="13"/>
  <c r="L220" i="13"/>
  <c r="M220" i="13"/>
  <c r="J220" i="13"/>
  <c r="K220" i="13"/>
  <c r="O219" i="13"/>
  <c r="P219" i="13" s="1"/>
  <c r="U219" i="13" s="1"/>
  <c r="H223" i="13" l="1"/>
  <c r="C225" i="13"/>
  <c r="D224" i="13"/>
  <c r="E224" i="13"/>
  <c r="T223" i="13"/>
  <c r="G223" i="13"/>
  <c r="F219" i="13"/>
  <c r="I219" i="13" s="1"/>
  <c r="N221" i="13"/>
  <c r="K221" i="13"/>
  <c r="M221" i="13"/>
  <c r="L221" i="13"/>
  <c r="J221" i="13"/>
  <c r="O220" i="13"/>
  <c r="P220" i="13" s="1"/>
  <c r="U220" i="13" s="1"/>
  <c r="C226" i="13" l="1"/>
  <c r="H224" i="13"/>
  <c r="E225" i="13"/>
  <c r="D225" i="13"/>
  <c r="T224" i="13"/>
  <c r="G224" i="13"/>
  <c r="F220" i="13"/>
  <c r="I220" i="13" s="1"/>
  <c r="N222" i="13"/>
  <c r="L222" i="13"/>
  <c r="M222" i="13"/>
  <c r="K222" i="13"/>
  <c r="J222" i="13"/>
  <c r="O221" i="13"/>
  <c r="P221" i="13" s="1"/>
  <c r="U221" i="13" s="1"/>
  <c r="C227" i="13" l="1"/>
  <c r="H225" i="13"/>
  <c r="E226" i="13"/>
  <c r="D226" i="13"/>
  <c r="T225" i="13"/>
  <c r="G225" i="13"/>
  <c r="F221" i="13"/>
  <c r="I221" i="13" s="1"/>
  <c r="N223" i="13"/>
  <c r="M223" i="13"/>
  <c r="K223" i="13"/>
  <c r="L223" i="13"/>
  <c r="J223" i="13"/>
  <c r="O222" i="13"/>
  <c r="P222" i="13" s="1"/>
  <c r="U222" i="13" s="1"/>
  <c r="H226" i="13" l="1"/>
  <c r="C228" i="13"/>
  <c r="E227" i="13"/>
  <c r="D227" i="13"/>
  <c r="T226" i="13"/>
  <c r="G226" i="13"/>
  <c r="F222" i="13"/>
  <c r="I222" i="13" s="1"/>
  <c r="N224" i="13"/>
  <c r="M224" i="13"/>
  <c r="K224" i="13"/>
  <c r="L224" i="13"/>
  <c r="J224" i="13"/>
  <c r="O223" i="13"/>
  <c r="P223" i="13" s="1"/>
  <c r="U223" i="13" s="1"/>
  <c r="C229" i="13" l="1"/>
  <c r="H227" i="13"/>
  <c r="E228" i="13"/>
  <c r="D228" i="13"/>
  <c r="T227" i="13"/>
  <c r="G227" i="13"/>
  <c r="F223" i="13"/>
  <c r="I223" i="13" s="1"/>
  <c r="N225" i="13"/>
  <c r="L225" i="13"/>
  <c r="J225" i="13"/>
  <c r="M225" i="13"/>
  <c r="K225" i="13"/>
  <c r="O224" i="13"/>
  <c r="P224" i="13" s="1"/>
  <c r="U224" i="13" s="1"/>
  <c r="C230" i="13" l="1"/>
  <c r="H228" i="13"/>
  <c r="E229" i="13"/>
  <c r="D229" i="13"/>
  <c r="T228" i="13"/>
  <c r="G228" i="13"/>
  <c r="F224" i="13"/>
  <c r="I224" i="13" s="1"/>
  <c r="N226" i="13"/>
  <c r="L226" i="13"/>
  <c r="K226" i="13"/>
  <c r="M226" i="13"/>
  <c r="J226" i="13"/>
  <c r="O225" i="13"/>
  <c r="P225" i="13" s="1"/>
  <c r="U225" i="13" s="1"/>
  <c r="H229" i="13" l="1"/>
  <c r="C231" i="13"/>
  <c r="E230" i="13"/>
  <c r="D230" i="13"/>
  <c r="T229" i="13"/>
  <c r="G229" i="13"/>
  <c r="F225" i="13"/>
  <c r="I225" i="13" s="1"/>
  <c r="N227" i="13"/>
  <c r="L227" i="13"/>
  <c r="M227" i="13"/>
  <c r="J227" i="13"/>
  <c r="K227" i="13"/>
  <c r="O226" i="13"/>
  <c r="P226" i="13" s="1"/>
  <c r="U226" i="13" s="1"/>
  <c r="H230" i="13" l="1"/>
  <c r="C232" i="13"/>
  <c r="E231" i="13"/>
  <c r="D231" i="13"/>
  <c r="T230" i="13"/>
  <c r="G230" i="13"/>
  <c r="F226" i="13"/>
  <c r="I226" i="13" s="1"/>
  <c r="N228" i="13"/>
  <c r="K228" i="13"/>
  <c r="M228" i="13"/>
  <c r="L228" i="13"/>
  <c r="J228" i="13"/>
  <c r="O227" i="13"/>
  <c r="P227" i="13" s="1"/>
  <c r="U227" i="13" s="1"/>
  <c r="C233" i="13" l="1"/>
  <c r="H231" i="13"/>
  <c r="D232" i="13"/>
  <c r="E232" i="13"/>
  <c r="T231" i="13"/>
  <c r="G231" i="13"/>
  <c r="F227" i="13"/>
  <c r="I227" i="13" s="1"/>
  <c r="N229" i="13"/>
  <c r="L229" i="13"/>
  <c r="M229" i="13"/>
  <c r="K229" i="13"/>
  <c r="J229" i="13"/>
  <c r="O228" i="13"/>
  <c r="P228" i="13" s="1"/>
  <c r="U228" i="13" s="1"/>
  <c r="C234" i="13" l="1"/>
  <c r="H232" i="13"/>
  <c r="E233" i="13"/>
  <c r="D233" i="13"/>
  <c r="T232" i="13"/>
  <c r="G232" i="13"/>
  <c r="F228" i="13"/>
  <c r="I228" i="13" s="1"/>
  <c r="N230" i="13"/>
  <c r="L230" i="13"/>
  <c r="M230" i="13"/>
  <c r="K230" i="13"/>
  <c r="J230" i="13"/>
  <c r="O229" i="13"/>
  <c r="P229" i="13" s="1"/>
  <c r="U229" i="13" s="1"/>
  <c r="C235" i="13" l="1"/>
  <c r="H233" i="13"/>
  <c r="E234" i="13"/>
  <c r="D234" i="13"/>
  <c r="T233" i="13"/>
  <c r="G233" i="13"/>
  <c r="F229" i="13"/>
  <c r="I229" i="13" s="1"/>
  <c r="N231" i="13"/>
  <c r="L231" i="13"/>
  <c r="M231" i="13"/>
  <c r="K231" i="13"/>
  <c r="J231" i="13"/>
  <c r="O230" i="13"/>
  <c r="P230" i="13" s="1"/>
  <c r="U230" i="13" s="1"/>
  <c r="C236" i="13" l="1"/>
  <c r="H234" i="13"/>
  <c r="E235" i="13"/>
  <c r="D235" i="13"/>
  <c r="T234" i="13"/>
  <c r="G234" i="13"/>
  <c r="F230" i="13"/>
  <c r="I230" i="13" s="1"/>
  <c r="N232" i="13"/>
  <c r="M232" i="13"/>
  <c r="L232" i="13"/>
  <c r="J232" i="13"/>
  <c r="K232" i="13"/>
  <c r="O231" i="13"/>
  <c r="P231" i="13" s="1"/>
  <c r="U231" i="13" s="1"/>
  <c r="H235" i="13" l="1"/>
  <c r="C237" i="13"/>
  <c r="E236" i="13"/>
  <c r="D236" i="13"/>
  <c r="T235" i="13"/>
  <c r="G235" i="13"/>
  <c r="F231" i="13"/>
  <c r="I231" i="13" s="1"/>
  <c r="N233" i="13"/>
  <c r="M233" i="13"/>
  <c r="K233" i="13"/>
  <c r="J233" i="13"/>
  <c r="L233" i="13"/>
  <c r="O232" i="13"/>
  <c r="P232" i="13" s="1"/>
  <c r="U232" i="13" s="1"/>
  <c r="C238" i="13" l="1"/>
  <c r="H236" i="13"/>
  <c r="E237" i="13"/>
  <c r="D237" i="13"/>
  <c r="H237" i="13" s="1"/>
  <c r="T236" i="13"/>
  <c r="G236" i="13"/>
  <c r="F232" i="13"/>
  <c r="I232" i="13" s="1"/>
  <c r="N234" i="13"/>
  <c r="M234" i="13"/>
  <c r="K234" i="13"/>
  <c r="L234" i="13"/>
  <c r="J234" i="13"/>
  <c r="O233" i="13"/>
  <c r="P233" i="13" s="1"/>
  <c r="U233" i="13" s="1"/>
  <c r="C239" i="13" l="1"/>
  <c r="E238" i="13"/>
  <c r="D238" i="13"/>
  <c r="T237" i="13"/>
  <c r="G237" i="13"/>
  <c r="F233" i="13"/>
  <c r="I233" i="13" s="1"/>
  <c r="N235" i="13"/>
  <c r="M235" i="13"/>
  <c r="L235" i="13"/>
  <c r="J235" i="13"/>
  <c r="K235" i="13"/>
  <c r="O234" i="13"/>
  <c r="P234" i="13" s="1"/>
  <c r="U234" i="13" s="1"/>
  <c r="C240" i="13" l="1"/>
  <c r="H238" i="13"/>
  <c r="E239" i="13"/>
  <c r="D239" i="13"/>
  <c r="T238" i="13"/>
  <c r="G238" i="13"/>
  <c r="F234" i="13"/>
  <c r="I234" i="13" s="1"/>
  <c r="N236" i="13"/>
  <c r="L236" i="13"/>
  <c r="M236" i="13"/>
  <c r="K236" i="13"/>
  <c r="J236" i="13"/>
  <c r="O235" i="13"/>
  <c r="P235" i="13" s="1"/>
  <c r="U235" i="13" s="1"/>
  <c r="C241" i="13" l="1"/>
  <c r="H239" i="13"/>
  <c r="D240" i="13"/>
  <c r="E240" i="13"/>
  <c r="T239" i="13"/>
  <c r="G239" i="13"/>
  <c r="F235" i="13"/>
  <c r="I235" i="13" s="1"/>
  <c r="N237" i="13"/>
  <c r="K237" i="13"/>
  <c r="L237" i="13"/>
  <c r="J237" i="13"/>
  <c r="M237" i="13"/>
  <c r="O236" i="13"/>
  <c r="P236" i="13" s="1"/>
  <c r="U236" i="13" s="1"/>
  <c r="C242" i="13" l="1"/>
  <c r="H240" i="13"/>
  <c r="E241" i="13"/>
  <c r="D241" i="13"/>
  <c r="T240" i="13"/>
  <c r="G240" i="13"/>
  <c r="F236" i="13"/>
  <c r="I236" i="13" s="1"/>
  <c r="N238" i="13"/>
  <c r="K238" i="13"/>
  <c r="L238" i="13"/>
  <c r="J238" i="13"/>
  <c r="M238" i="13"/>
  <c r="O237" i="13"/>
  <c r="P237" i="13" s="1"/>
  <c r="U237" i="13" s="1"/>
  <c r="C243" i="13" l="1"/>
  <c r="H241" i="13"/>
  <c r="E242" i="13"/>
  <c r="D242" i="13"/>
  <c r="T241" i="13"/>
  <c r="F237" i="13"/>
  <c r="I237" i="13" s="1"/>
  <c r="G241" i="13"/>
  <c r="N239" i="13"/>
  <c r="L239" i="13"/>
  <c r="K239" i="13"/>
  <c r="M239" i="13"/>
  <c r="J239" i="13"/>
  <c r="O238" i="13"/>
  <c r="P238" i="13" s="1"/>
  <c r="U238" i="13" s="1"/>
  <c r="C244" i="13" l="1"/>
  <c r="H242" i="13"/>
  <c r="E243" i="13"/>
  <c r="D243" i="13"/>
  <c r="T242" i="13"/>
  <c r="G242" i="13"/>
  <c r="F238" i="13"/>
  <c r="I238" i="13" s="1"/>
  <c r="N240" i="13"/>
  <c r="L240" i="13"/>
  <c r="J240" i="13"/>
  <c r="M240" i="13"/>
  <c r="K240" i="13"/>
  <c r="O239" i="13"/>
  <c r="P239" i="13" s="1"/>
  <c r="U239" i="13" s="1"/>
  <c r="C245" i="13" l="1"/>
  <c r="H243" i="13"/>
  <c r="E244" i="13"/>
  <c r="D244" i="13"/>
  <c r="T243" i="13"/>
  <c r="G243" i="13"/>
  <c r="F239" i="13"/>
  <c r="I239" i="13" s="1"/>
  <c r="N241" i="13"/>
  <c r="M241" i="13"/>
  <c r="L241" i="13"/>
  <c r="J241" i="13"/>
  <c r="K241" i="13"/>
  <c r="O240" i="13"/>
  <c r="P240" i="13" s="1"/>
  <c r="U240" i="13" s="1"/>
  <c r="C246" i="13" l="1"/>
  <c r="H244" i="13"/>
  <c r="E245" i="13"/>
  <c r="D245" i="13"/>
  <c r="T244" i="13"/>
  <c r="F240" i="13"/>
  <c r="I240" i="13" s="1"/>
  <c r="G244" i="13"/>
  <c r="N242" i="13"/>
  <c r="M242" i="13"/>
  <c r="K242" i="13"/>
  <c r="L242" i="13"/>
  <c r="J242" i="13"/>
  <c r="O241" i="13"/>
  <c r="P241" i="13" s="1"/>
  <c r="U241" i="13" s="1"/>
  <c r="C247" i="13" l="1"/>
  <c r="H245" i="13"/>
  <c r="E246" i="13"/>
  <c r="D246" i="13"/>
  <c r="T245" i="13"/>
  <c r="G245" i="13"/>
  <c r="F241" i="13"/>
  <c r="I241" i="13" s="1"/>
  <c r="N243" i="13"/>
  <c r="M243" i="13"/>
  <c r="L243" i="13"/>
  <c r="K243" i="13"/>
  <c r="J243" i="13"/>
  <c r="O242" i="13"/>
  <c r="P242" i="13" s="1"/>
  <c r="U242" i="13" s="1"/>
  <c r="C248" i="13" l="1"/>
  <c r="H246" i="13"/>
  <c r="E247" i="13"/>
  <c r="D247" i="13"/>
  <c r="T246" i="13"/>
  <c r="G246" i="13"/>
  <c r="F242" i="13"/>
  <c r="I242" i="13" s="1"/>
  <c r="N244" i="13"/>
  <c r="K244" i="13"/>
  <c r="L244" i="13"/>
  <c r="J244" i="13"/>
  <c r="M244" i="13"/>
  <c r="O243" i="13"/>
  <c r="P243" i="13" s="1"/>
  <c r="U243" i="13" s="1"/>
  <c r="C249" i="13" l="1"/>
  <c r="H247" i="13"/>
  <c r="D248" i="13"/>
  <c r="E248" i="13"/>
  <c r="T247" i="13"/>
  <c r="G247" i="13"/>
  <c r="F243" i="13"/>
  <c r="I243" i="13" s="1"/>
  <c r="N245" i="13"/>
  <c r="L245" i="13"/>
  <c r="K245" i="13"/>
  <c r="M245" i="13"/>
  <c r="J245" i="13"/>
  <c r="O244" i="13"/>
  <c r="P244" i="13" s="1"/>
  <c r="U244" i="13" s="1"/>
  <c r="C250" i="13" l="1"/>
  <c r="H248" i="13"/>
  <c r="E249" i="13"/>
  <c r="D249" i="13"/>
  <c r="T248" i="13"/>
  <c r="G248" i="13"/>
  <c r="F244" i="13"/>
  <c r="I244" i="13" s="1"/>
  <c r="N246" i="13"/>
  <c r="K246" i="13"/>
  <c r="L246" i="13"/>
  <c r="J246" i="13"/>
  <c r="M246" i="13"/>
  <c r="O245" i="13"/>
  <c r="P245" i="13" s="1"/>
  <c r="U245" i="13" s="1"/>
  <c r="H249" i="13" l="1"/>
  <c r="C251" i="13"/>
  <c r="E250" i="13"/>
  <c r="D250" i="13"/>
  <c r="T249" i="13"/>
  <c r="G249" i="13"/>
  <c r="F245" i="13"/>
  <c r="I245" i="13" s="1"/>
  <c r="N247" i="13"/>
  <c r="K247" i="13"/>
  <c r="L247" i="13"/>
  <c r="M247" i="13"/>
  <c r="J247" i="13"/>
  <c r="O246" i="13"/>
  <c r="P246" i="13" s="1"/>
  <c r="U246" i="13" s="1"/>
  <c r="H250" i="13" l="1"/>
  <c r="C252" i="13"/>
  <c r="E251" i="13"/>
  <c r="D251" i="13"/>
  <c r="T250" i="13"/>
  <c r="G250" i="13"/>
  <c r="F246" i="13"/>
  <c r="I246" i="13" s="1"/>
  <c r="N248" i="13"/>
  <c r="M248" i="13"/>
  <c r="L248" i="13"/>
  <c r="K248" i="13"/>
  <c r="J248" i="13"/>
  <c r="O247" i="13"/>
  <c r="P247" i="13" s="1"/>
  <c r="U247" i="13" s="1"/>
  <c r="C253" i="13" l="1"/>
  <c r="H251" i="13"/>
  <c r="E252" i="13"/>
  <c r="D252" i="13"/>
  <c r="T251" i="13"/>
  <c r="G251" i="13"/>
  <c r="F247" i="13"/>
  <c r="I247" i="13" s="1"/>
  <c r="N249" i="13"/>
  <c r="L249" i="13"/>
  <c r="M249" i="13"/>
  <c r="J249" i="13"/>
  <c r="K249" i="13"/>
  <c r="O248" i="13"/>
  <c r="P248" i="13" s="1"/>
  <c r="U248" i="13" s="1"/>
  <c r="H252" i="13" l="1"/>
  <c r="C254" i="13"/>
  <c r="E253" i="13"/>
  <c r="D253" i="13"/>
  <c r="T252" i="13"/>
  <c r="G252" i="13"/>
  <c r="F248" i="13"/>
  <c r="I248" i="13" s="1"/>
  <c r="N250" i="13"/>
  <c r="M250" i="13"/>
  <c r="K250" i="13"/>
  <c r="J250" i="13"/>
  <c r="L250" i="13"/>
  <c r="O249" i="13"/>
  <c r="P249" i="13" s="1"/>
  <c r="U249" i="13" s="1"/>
  <c r="C255" i="13" l="1"/>
  <c r="H253" i="13"/>
  <c r="E254" i="13"/>
  <c r="D254" i="13"/>
  <c r="T253" i="13"/>
  <c r="G253" i="13"/>
  <c r="F249" i="13"/>
  <c r="I249" i="13" s="1"/>
  <c r="N251" i="13"/>
  <c r="M251" i="13"/>
  <c r="K251" i="13"/>
  <c r="L251" i="13"/>
  <c r="J251" i="13"/>
  <c r="O250" i="13"/>
  <c r="P250" i="13" s="1"/>
  <c r="U250" i="13" s="1"/>
  <c r="C256" i="13" l="1"/>
  <c r="H254" i="13"/>
  <c r="E255" i="13"/>
  <c r="D255" i="13"/>
  <c r="T254" i="13"/>
  <c r="G254" i="13"/>
  <c r="F250" i="13"/>
  <c r="I250" i="13" s="1"/>
  <c r="N252" i="13"/>
  <c r="K252" i="13"/>
  <c r="M252" i="13"/>
  <c r="L252" i="13"/>
  <c r="J252" i="13"/>
  <c r="O251" i="13"/>
  <c r="P251" i="13" s="1"/>
  <c r="U251" i="13" s="1"/>
  <c r="C257" i="13" l="1"/>
  <c r="H255" i="13"/>
  <c r="D256" i="13"/>
  <c r="E256" i="13"/>
  <c r="T255" i="13"/>
  <c r="G255" i="13"/>
  <c r="F251" i="13"/>
  <c r="I251" i="13" s="1"/>
  <c r="N253" i="13"/>
  <c r="M253" i="13"/>
  <c r="K253" i="13"/>
  <c r="L253" i="13"/>
  <c r="J253" i="13"/>
  <c r="O252" i="13"/>
  <c r="P252" i="13" s="1"/>
  <c r="U252" i="13" s="1"/>
  <c r="C258" i="13" l="1"/>
  <c r="H256" i="13"/>
  <c r="E257" i="13"/>
  <c r="D257" i="13"/>
  <c r="T256" i="13"/>
  <c r="G256" i="13"/>
  <c r="F252" i="13"/>
  <c r="I252" i="13" s="1"/>
  <c r="N254" i="13"/>
  <c r="M254" i="13"/>
  <c r="L254" i="13"/>
  <c r="J254" i="13"/>
  <c r="K254" i="13"/>
  <c r="O253" i="13"/>
  <c r="P253" i="13" s="1"/>
  <c r="U253" i="13" s="1"/>
  <c r="C259" i="13" l="1"/>
  <c r="H257" i="13"/>
  <c r="E258" i="13"/>
  <c r="D258" i="13"/>
  <c r="T257" i="13"/>
  <c r="G257" i="13"/>
  <c r="F253" i="13"/>
  <c r="I253" i="13" s="1"/>
  <c r="N255" i="13"/>
  <c r="M255" i="13"/>
  <c r="L255" i="13"/>
  <c r="K255" i="13"/>
  <c r="J255" i="13"/>
  <c r="O254" i="13"/>
  <c r="P254" i="13" s="1"/>
  <c r="U254" i="13" s="1"/>
  <c r="C260" i="13" l="1"/>
  <c r="H258" i="13"/>
  <c r="E259" i="13"/>
  <c r="D259" i="13"/>
  <c r="T258" i="13"/>
  <c r="G258" i="13"/>
  <c r="F254" i="13"/>
  <c r="I254" i="13" s="1"/>
  <c r="N256" i="13"/>
  <c r="L256" i="13"/>
  <c r="M256" i="13"/>
  <c r="K256" i="13"/>
  <c r="J256" i="13"/>
  <c r="O255" i="13"/>
  <c r="P255" i="13" s="1"/>
  <c r="U255" i="13" s="1"/>
  <c r="H259" i="13" l="1"/>
  <c r="C261" i="13"/>
  <c r="E260" i="13"/>
  <c r="D260" i="13"/>
  <c r="T259" i="13"/>
  <c r="G259" i="13"/>
  <c r="F255" i="13"/>
  <c r="I255" i="13" s="1"/>
  <c r="N257" i="13"/>
  <c r="L257" i="13"/>
  <c r="K257" i="13"/>
  <c r="M257" i="13"/>
  <c r="J257" i="13"/>
  <c r="O256" i="13"/>
  <c r="P256" i="13" s="1"/>
  <c r="U256" i="13" s="1"/>
  <c r="H260" i="13" l="1"/>
  <c r="C262" i="13"/>
  <c r="E261" i="13"/>
  <c r="D261" i="13"/>
  <c r="T260" i="13"/>
  <c r="G260" i="13"/>
  <c r="F256" i="13"/>
  <c r="I256" i="13" s="1"/>
  <c r="N258" i="13"/>
  <c r="M258" i="13"/>
  <c r="J258" i="13"/>
  <c r="K258" i="13"/>
  <c r="L258" i="13"/>
  <c r="O257" i="13"/>
  <c r="P257" i="13" s="1"/>
  <c r="U257" i="13" s="1"/>
  <c r="C263" i="13" l="1"/>
  <c r="H261" i="13"/>
  <c r="E262" i="13"/>
  <c r="D262" i="13"/>
  <c r="T261" i="13"/>
  <c r="G261" i="13"/>
  <c r="F257" i="13"/>
  <c r="I257" i="13" s="1"/>
  <c r="O258" i="13"/>
  <c r="P258" i="13" s="1"/>
  <c r="U258" i="13" s="1"/>
  <c r="J259" i="13"/>
  <c r="M259" i="13"/>
  <c r="L259" i="13"/>
  <c r="K259" i="13"/>
  <c r="N259" i="13"/>
  <c r="H262" i="13" l="1"/>
  <c r="C264" i="13"/>
  <c r="E263" i="13"/>
  <c r="D263" i="13"/>
  <c r="T262" i="13"/>
  <c r="G262" i="13"/>
  <c r="F258" i="13"/>
  <c r="I258" i="13" s="1"/>
  <c r="O259" i="13"/>
  <c r="P259" i="13" s="1"/>
  <c r="U259" i="13" s="1"/>
  <c r="M260" i="13"/>
  <c r="L260" i="13"/>
  <c r="K260" i="13"/>
  <c r="N260" i="13"/>
  <c r="J260" i="13"/>
  <c r="C265" i="13" l="1"/>
  <c r="H263" i="13"/>
  <c r="E264" i="13"/>
  <c r="D264" i="13"/>
  <c r="T263" i="13"/>
  <c r="G263" i="13"/>
  <c r="F259" i="13"/>
  <c r="I259" i="13" s="1"/>
  <c r="O260" i="13"/>
  <c r="P260" i="13" s="1"/>
  <c r="U260" i="13" s="1"/>
  <c r="N261" i="13"/>
  <c r="J261" i="13"/>
  <c r="K261" i="13"/>
  <c r="M261" i="13"/>
  <c r="L261" i="13"/>
  <c r="H264" i="13" l="1"/>
  <c r="C266" i="13"/>
  <c r="E265" i="13"/>
  <c r="D265" i="13"/>
  <c r="T264" i="13"/>
  <c r="G264" i="13"/>
  <c r="F260" i="13"/>
  <c r="I260" i="13" s="1"/>
  <c r="O261" i="13"/>
  <c r="P261" i="13" s="1"/>
  <c r="U261" i="13" s="1"/>
  <c r="N262" i="13"/>
  <c r="M262" i="13"/>
  <c r="L262" i="13"/>
  <c r="K262" i="13"/>
  <c r="J262" i="13"/>
  <c r="C267" i="13" l="1"/>
  <c r="H265" i="13"/>
  <c r="E266" i="13"/>
  <c r="D266" i="13"/>
  <c r="T265" i="13"/>
  <c r="G265" i="13"/>
  <c r="F261" i="13"/>
  <c r="I261" i="13" s="1"/>
  <c r="O262" i="13"/>
  <c r="P262" i="13" s="1"/>
  <c r="U262" i="13" s="1"/>
  <c r="N263" i="13"/>
  <c r="M263" i="13"/>
  <c r="J263" i="13"/>
  <c r="L263" i="13"/>
  <c r="K263" i="13"/>
  <c r="C268" i="13" l="1"/>
  <c r="H266" i="13"/>
  <c r="E267" i="13"/>
  <c r="D267" i="13"/>
  <c r="T266" i="13"/>
  <c r="G266" i="13"/>
  <c r="F262" i="13"/>
  <c r="I262" i="13" s="1"/>
  <c r="N264" i="13"/>
  <c r="L264" i="13"/>
  <c r="K264" i="13"/>
  <c r="J264" i="13"/>
  <c r="M264" i="13"/>
  <c r="O263" i="13"/>
  <c r="P263" i="13" s="1"/>
  <c r="U263" i="13" s="1"/>
  <c r="H267" i="13" l="1"/>
  <c r="C269" i="13"/>
  <c r="E268" i="13"/>
  <c r="D268" i="13"/>
  <c r="T267" i="13"/>
  <c r="G267" i="13"/>
  <c r="F263" i="13"/>
  <c r="I263" i="13" s="1"/>
  <c r="M265" i="13"/>
  <c r="J265" i="13"/>
  <c r="K265" i="13"/>
  <c r="L265" i="13"/>
  <c r="N265" i="13"/>
  <c r="O264" i="13"/>
  <c r="P264" i="13" s="1"/>
  <c r="U264" i="13" s="1"/>
  <c r="H268" i="13" l="1"/>
  <c r="C270" i="13"/>
  <c r="E269" i="13"/>
  <c r="D269" i="13"/>
  <c r="T268" i="13"/>
  <c r="F264" i="13"/>
  <c r="I264" i="13" s="1"/>
  <c r="G268" i="13"/>
  <c r="O265" i="13"/>
  <c r="P265" i="13" s="1"/>
  <c r="U265" i="13" s="1"/>
  <c r="N266" i="13"/>
  <c r="J266" i="13"/>
  <c r="K266" i="13"/>
  <c r="L266" i="13"/>
  <c r="M266" i="13"/>
  <c r="L267" i="13"/>
  <c r="J267" i="13"/>
  <c r="K267" i="13"/>
  <c r="N267" i="13"/>
  <c r="C271" i="13" l="1"/>
  <c r="H269" i="13"/>
  <c r="E270" i="13"/>
  <c r="D270" i="13"/>
  <c r="T269" i="13"/>
  <c r="G269" i="13"/>
  <c r="F265" i="13"/>
  <c r="I265" i="13" s="1"/>
  <c r="M267" i="13"/>
  <c r="O267" i="13" s="1"/>
  <c r="P267" i="13" s="1"/>
  <c r="U267" i="13" s="1"/>
  <c r="L268" i="13"/>
  <c r="O266" i="13"/>
  <c r="P266" i="13" s="1"/>
  <c r="U266" i="13" s="1"/>
  <c r="N268" i="13"/>
  <c r="K268" i="13"/>
  <c r="M268" i="13"/>
  <c r="H270" i="13" l="1"/>
  <c r="C272" i="13"/>
  <c r="E271" i="13"/>
  <c r="D271" i="13"/>
  <c r="T270" i="13"/>
  <c r="G270" i="13"/>
  <c r="F266" i="13"/>
  <c r="I266" i="13" s="1"/>
  <c r="J268" i="13"/>
  <c r="O268" i="13" s="1"/>
  <c r="P268" i="13" s="1"/>
  <c r="U268" i="13" s="1"/>
  <c r="M269" i="13"/>
  <c r="L269" i="13"/>
  <c r="J269" i="13"/>
  <c r="N269" i="13"/>
  <c r="K269" i="13"/>
  <c r="C273" i="13" l="1"/>
  <c r="H271" i="13"/>
  <c r="E272" i="13"/>
  <c r="D272" i="13"/>
  <c r="T271" i="13"/>
  <c r="G271" i="13"/>
  <c r="F267" i="13"/>
  <c r="I267" i="13" s="1"/>
  <c r="O269" i="13"/>
  <c r="P269" i="13" s="1"/>
  <c r="U269" i="13" s="1"/>
  <c r="M270" i="13"/>
  <c r="N270" i="13"/>
  <c r="K270" i="13"/>
  <c r="L270" i="13"/>
  <c r="J270" i="13"/>
  <c r="C274" i="13" l="1"/>
  <c r="H272" i="13"/>
  <c r="E273" i="13"/>
  <c r="D273" i="13"/>
  <c r="T272" i="13"/>
  <c r="G272" i="13"/>
  <c r="F268" i="13"/>
  <c r="I268" i="13" s="1"/>
  <c r="O270" i="13"/>
  <c r="P270" i="13" s="1"/>
  <c r="U270" i="13" s="1"/>
  <c r="N271" i="13"/>
  <c r="M271" i="13"/>
  <c r="L271" i="13"/>
  <c r="J271" i="13"/>
  <c r="K271" i="13"/>
  <c r="C275" i="13" l="1"/>
  <c r="H273" i="13"/>
  <c r="E274" i="13"/>
  <c r="D274" i="13"/>
  <c r="T273" i="13"/>
  <c r="G273" i="13"/>
  <c r="F269" i="13"/>
  <c r="I269" i="13" s="1"/>
  <c r="O271" i="13"/>
  <c r="P271" i="13" s="1"/>
  <c r="U271" i="13" s="1"/>
  <c r="N272" i="13"/>
  <c r="M272" i="13"/>
  <c r="L272" i="13"/>
  <c r="J272" i="13"/>
  <c r="K272" i="13"/>
  <c r="C276" i="13" l="1"/>
  <c r="H274" i="13"/>
  <c r="E275" i="13"/>
  <c r="D275" i="13"/>
  <c r="T274" i="13"/>
  <c r="G274" i="13"/>
  <c r="F270" i="13"/>
  <c r="I270" i="13" s="1"/>
  <c r="O272" i="13"/>
  <c r="P272" i="13" s="1"/>
  <c r="U272" i="13" s="1"/>
  <c r="N273" i="13"/>
  <c r="M273" i="13"/>
  <c r="L273" i="13"/>
  <c r="K273" i="13"/>
  <c r="J273" i="13"/>
  <c r="H275" i="13" l="1"/>
  <c r="C277" i="13"/>
  <c r="E276" i="13"/>
  <c r="D276" i="13"/>
  <c r="T275" i="13"/>
  <c r="G275" i="13"/>
  <c r="F271" i="13"/>
  <c r="I271" i="13" s="1"/>
  <c r="O273" i="13"/>
  <c r="P273" i="13" s="1"/>
  <c r="U273" i="13" s="1"/>
  <c r="N274" i="13"/>
  <c r="M274" i="13"/>
  <c r="K274" i="13"/>
  <c r="J274" i="13"/>
  <c r="L274" i="13"/>
  <c r="C278" i="13" l="1"/>
  <c r="H276" i="13"/>
  <c r="E277" i="13"/>
  <c r="D277" i="13"/>
  <c r="T276" i="13"/>
  <c r="G276" i="13"/>
  <c r="F272" i="13"/>
  <c r="I272" i="13" s="1"/>
  <c r="O274" i="13"/>
  <c r="P274" i="13" s="1"/>
  <c r="U274" i="13" s="1"/>
  <c r="L275" i="13"/>
  <c r="K275" i="13"/>
  <c r="J275" i="13"/>
  <c r="M275" i="13"/>
  <c r="N275" i="13"/>
  <c r="C279" i="13" l="1"/>
  <c r="H277" i="13"/>
  <c r="E278" i="13"/>
  <c r="D278" i="13"/>
  <c r="T277" i="13"/>
  <c r="G277" i="13"/>
  <c r="F273" i="13"/>
  <c r="I273" i="13" s="1"/>
  <c r="O275" i="13"/>
  <c r="P275" i="13" s="1"/>
  <c r="U275" i="13" s="1"/>
  <c r="L276" i="13"/>
  <c r="K276" i="13"/>
  <c r="J276" i="13"/>
  <c r="M276" i="13"/>
  <c r="N276" i="13"/>
  <c r="C280" i="13" l="1"/>
  <c r="H278" i="13"/>
  <c r="E279" i="13"/>
  <c r="D279" i="13"/>
  <c r="T278" i="13"/>
  <c r="G278" i="13"/>
  <c r="F274" i="13"/>
  <c r="I274" i="13" s="1"/>
  <c r="O276" i="13"/>
  <c r="P276" i="13" s="1"/>
  <c r="U276" i="13" s="1"/>
  <c r="N277" i="13"/>
  <c r="L277" i="13"/>
  <c r="K277" i="13"/>
  <c r="J277" i="13"/>
  <c r="M277" i="13"/>
  <c r="C281" i="13" l="1"/>
  <c r="H279" i="13"/>
  <c r="D280" i="13"/>
  <c r="E280" i="13"/>
  <c r="T279" i="13"/>
  <c r="G279" i="13"/>
  <c r="F275" i="13"/>
  <c r="I275" i="13" s="1"/>
  <c r="O277" i="13"/>
  <c r="P277" i="13" s="1"/>
  <c r="U277" i="13" s="1"/>
  <c r="N278" i="13"/>
  <c r="L278" i="13"/>
  <c r="M278" i="13"/>
  <c r="K278" i="13"/>
  <c r="J278" i="13"/>
  <c r="C282" i="13" l="1"/>
  <c r="H280" i="13"/>
  <c r="E281" i="13"/>
  <c r="D281" i="13"/>
  <c r="T280" i="13"/>
  <c r="G280" i="13"/>
  <c r="F276" i="13"/>
  <c r="I276" i="13" s="1"/>
  <c r="O278" i="13"/>
  <c r="P278" i="13" s="1"/>
  <c r="U278" i="13" s="1"/>
  <c r="N279" i="13"/>
  <c r="K279" i="13"/>
  <c r="J279" i="13"/>
  <c r="M279" i="13"/>
  <c r="L279" i="13"/>
  <c r="H281" i="13" l="1"/>
  <c r="C283" i="13"/>
  <c r="E282" i="13"/>
  <c r="D282" i="13"/>
  <c r="T281" i="13"/>
  <c r="G281" i="13"/>
  <c r="F277" i="13"/>
  <c r="I277" i="13" s="1"/>
  <c r="O279" i="13"/>
  <c r="P279" i="13" s="1"/>
  <c r="U279" i="13" s="1"/>
  <c r="N280" i="13"/>
  <c r="M280" i="13"/>
  <c r="L280" i="13"/>
  <c r="K280" i="13"/>
  <c r="J280" i="13"/>
  <c r="C284" i="13" l="1"/>
  <c r="H282" i="13"/>
  <c r="E283" i="13"/>
  <c r="D283" i="13"/>
  <c r="T282" i="13"/>
  <c r="G282" i="13"/>
  <c r="F278" i="13"/>
  <c r="I278" i="13" s="1"/>
  <c r="O280" i="13"/>
  <c r="P280" i="13" s="1"/>
  <c r="U280" i="13" s="1"/>
  <c r="N281" i="13"/>
  <c r="M281" i="13"/>
  <c r="L281" i="13"/>
  <c r="K281" i="13"/>
  <c r="J281" i="13"/>
  <c r="H283" i="13" l="1"/>
  <c r="C285" i="13"/>
  <c r="E284" i="13"/>
  <c r="D284" i="13"/>
  <c r="T283" i="13"/>
  <c r="G283" i="13"/>
  <c r="F279" i="13"/>
  <c r="I279" i="13" s="1"/>
  <c r="O281" i="13"/>
  <c r="P281" i="13" s="1"/>
  <c r="U281" i="13" s="1"/>
  <c r="N282" i="13"/>
  <c r="M282" i="13"/>
  <c r="J282" i="13"/>
  <c r="L282" i="13"/>
  <c r="K282" i="13"/>
  <c r="C286" i="13" l="1"/>
  <c r="H284" i="13"/>
  <c r="E285" i="13"/>
  <c r="D285" i="13"/>
  <c r="T284" i="13"/>
  <c r="G284" i="13"/>
  <c r="F280" i="13"/>
  <c r="I280" i="13" s="1"/>
  <c r="O282" i="13"/>
  <c r="P282" i="13" s="1"/>
  <c r="U282" i="13" s="1"/>
  <c r="K283" i="13"/>
  <c r="M283" i="13"/>
  <c r="J283" i="13"/>
  <c r="N283" i="13"/>
  <c r="L283" i="13"/>
  <c r="C287" i="13" l="1"/>
  <c r="H285" i="13"/>
  <c r="E286" i="13"/>
  <c r="D286" i="13"/>
  <c r="T285" i="13"/>
  <c r="G285" i="13"/>
  <c r="F281" i="13"/>
  <c r="I281" i="13" s="1"/>
  <c r="O283" i="13"/>
  <c r="P283" i="13" s="1"/>
  <c r="U283" i="13" s="1"/>
  <c r="L284" i="13"/>
  <c r="K284" i="13"/>
  <c r="M284" i="13"/>
  <c r="N284" i="13"/>
  <c r="J284" i="13"/>
  <c r="H286" i="13" l="1"/>
  <c r="C288" i="13"/>
  <c r="E287" i="13"/>
  <c r="D287" i="13"/>
  <c r="T286" i="13"/>
  <c r="G286" i="13"/>
  <c r="F282" i="13"/>
  <c r="I282" i="13" s="1"/>
  <c r="O284" i="13"/>
  <c r="P284" i="13" s="1"/>
  <c r="U284" i="13" s="1"/>
  <c r="K285" i="13"/>
  <c r="L285" i="13"/>
  <c r="M285" i="13"/>
  <c r="J285" i="13"/>
  <c r="N285" i="13"/>
  <c r="C289" i="13" l="1"/>
  <c r="H287" i="13"/>
  <c r="D288" i="13"/>
  <c r="E288" i="13"/>
  <c r="T287" i="13"/>
  <c r="G287" i="13"/>
  <c r="F283" i="13"/>
  <c r="I283" i="13" s="1"/>
  <c r="O285" i="13"/>
  <c r="P285" i="13" s="1"/>
  <c r="U285" i="13" s="1"/>
  <c r="L286" i="13"/>
  <c r="K286" i="13"/>
  <c r="N286" i="13"/>
  <c r="J286" i="13"/>
  <c r="M286" i="13"/>
  <c r="C290" i="13" l="1"/>
  <c r="H288" i="13"/>
  <c r="E289" i="13"/>
  <c r="D289" i="13"/>
  <c r="T288" i="13"/>
  <c r="G288" i="13"/>
  <c r="F284" i="13"/>
  <c r="I284" i="13" s="1"/>
  <c r="O286" i="13"/>
  <c r="P286" i="13" s="1"/>
  <c r="U286" i="13" s="1"/>
  <c r="N287" i="13"/>
  <c r="L287" i="13"/>
  <c r="M287" i="13"/>
  <c r="J287" i="13"/>
  <c r="K287" i="13"/>
  <c r="C291" i="13" l="1"/>
  <c r="H289" i="13"/>
  <c r="E290" i="13"/>
  <c r="D290" i="13"/>
  <c r="T289" i="13"/>
  <c r="G289" i="13"/>
  <c r="F285" i="13"/>
  <c r="I285" i="13" s="1"/>
  <c r="O287" i="13"/>
  <c r="P287" i="13" s="1"/>
  <c r="U287" i="13" s="1"/>
  <c r="N288" i="13"/>
  <c r="K288" i="13"/>
  <c r="M288" i="13"/>
  <c r="J288" i="13"/>
  <c r="L288" i="13"/>
  <c r="H290" i="13" l="1"/>
  <c r="C292" i="13"/>
  <c r="E291" i="13"/>
  <c r="D291" i="13"/>
  <c r="T290" i="13"/>
  <c r="G290" i="13"/>
  <c r="F286" i="13"/>
  <c r="I286" i="13" s="1"/>
  <c r="O288" i="13"/>
  <c r="P288" i="13" s="1"/>
  <c r="U288" i="13" s="1"/>
  <c r="N289" i="13"/>
  <c r="M289" i="13"/>
  <c r="L289" i="13"/>
  <c r="K289" i="13"/>
  <c r="J289" i="13"/>
  <c r="C293" i="13" l="1"/>
  <c r="H291" i="13"/>
  <c r="E292" i="13"/>
  <c r="D292" i="13"/>
  <c r="T291" i="13"/>
  <c r="G291" i="13"/>
  <c r="F287" i="13"/>
  <c r="I287" i="13" s="1"/>
  <c r="O289" i="13"/>
  <c r="P289" i="13" s="1"/>
  <c r="U289" i="13" s="1"/>
  <c r="N290" i="13"/>
  <c r="M290" i="13"/>
  <c r="J290" i="13"/>
  <c r="L290" i="13"/>
  <c r="K290" i="13"/>
  <c r="C294" i="13" l="1"/>
  <c r="H292" i="13"/>
  <c r="E293" i="13"/>
  <c r="D293" i="13"/>
  <c r="T292" i="13"/>
  <c r="G292" i="13"/>
  <c r="F288" i="13"/>
  <c r="I288" i="13" s="1"/>
  <c r="O290" i="13"/>
  <c r="P290" i="13" s="1"/>
  <c r="U290" i="13" s="1"/>
  <c r="J291" i="13"/>
  <c r="N291" i="13"/>
  <c r="L291" i="13"/>
  <c r="K291" i="13"/>
  <c r="M291" i="13"/>
  <c r="C295" i="13" l="1"/>
  <c r="H293" i="13"/>
  <c r="E294" i="13"/>
  <c r="D294" i="13"/>
  <c r="T293" i="13"/>
  <c r="G293" i="13"/>
  <c r="F289" i="13"/>
  <c r="I289" i="13" s="1"/>
  <c r="O291" i="13"/>
  <c r="P291" i="13" s="1"/>
  <c r="U291" i="13" s="1"/>
  <c r="M292" i="13"/>
  <c r="K292" i="13"/>
  <c r="J292" i="13"/>
  <c r="L292" i="13"/>
  <c r="N292" i="13"/>
  <c r="H294" i="13" l="1"/>
  <c r="C296" i="13"/>
  <c r="E295" i="13"/>
  <c r="D295" i="13"/>
  <c r="T294" i="13"/>
  <c r="G294" i="13"/>
  <c r="F290" i="13"/>
  <c r="I290" i="13" s="1"/>
  <c r="O292" i="13"/>
  <c r="P292" i="13" s="1"/>
  <c r="U292" i="13" s="1"/>
  <c r="N293" i="13"/>
  <c r="L293" i="13"/>
  <c r="M293" i="13"/>
  <c r="K293" i="13"/>
  <c r="J293" i="13"/>
  <c r="C297" i="13" l="1"/>
  <c r="H295" i="13"/>
  <c r="D296" i="13"/>
  <c r="E296" i="13"/>
  <c r="T295" i="13"/>
  <c r="G295" i="13"/>
  <c r="F291" i="13"/>
  <c r="I291" i="13" s="1"/>
  <c r="O293" i="13"/>
  <c r="P293" i="13" s="1"/>
  <c r="U293" i="13" s="1"/>
  <c r="N294" i="13"/>
  <c r="L294" i="13"/>
  <c r="K294" i="13"/>
  <c r="M294" i="13"/>
  <c r="J294" i="13"/>
  <c r="C298" i="13" l="1"/>
  <c r="H296" i="13"/>
  <c r="E297" i="13"/>
  <c r="D297" i="13"/>
  <c r="T296" i="13"/>
  <c r="G296" i="13"/>
  <c r="F292" i="13"/>
  <c r="I292" i="13" s="1"/>
  <c r="O294" i="13"/>
  <c r="P294" i="13" s="1"/>
  <c r="U294" i="13" s="1"/>
  <c r="N295" i="13"/>
  <c r="L295" i="13"/>
  <c r="M295" i="13"/>
  <c r="K295" i="13"/>
  <c r="J295" i="13"/>
  <c r="C299" i="13" l="1"/>
  <c r="H297" i="13"/>
  <c r="E298" i="13"/>
  <c r="D298" i="13"/>
  <c r="T297" i="13"/>
  <c r="G297" i="13"/>
  <c r="F293" i="13"/>
  <c r="I293" i="13" s="1"/>
  <c r="O295" i="13"/>
  <c r="P295" i="13" s="1"/>
  <c r="U295" i="13" s="1"/>
  <c r="N296" i="13"/>
  <c r="L296" i="13"/>
  <c r="J296" i="13"/>
  <c r="M296" i="13"/>
  <c r="K296" i="13"/>
  <c r="C300" i="13" l="1"/>
  <c r="H298" i="13"/>
  <c r="E299" i="13"/>
  <c r="D299" i="13"/>
  <c r="T298" i="13"/>
  <c r="G298" i="13"/>
  <c r="F294" i="13"/>
  <c r="I294" i="13" s="1"/>
  <c r="O296" i="13"/>
  <c r="P296" i="13" s="1"/>
  <c r="U296" i="13" s="1"/>
  <c r="N297" i="13"/>
  <c r="M297" i="13"/>
  <c r="L297" i="13"/>
  <c r="K297" i="13"/>
  <c r="J297" i="13"/>
  <c r="C301" i="13" l="1"/>
  <c r="H299" i="13"/>
  <c r="E300" i="13"/>
  <c r="D300" i="13"/>
  <c r="T299" i="13"/>
  <c r="G299" i="13"/>
  <c r="F295" i="13"/>
  <c r="I295" i="13" s="1"/>
  <c r="O297" i="13"/>
  <c r="P297" i="13" s="1"/>
  <c r="U297" i="13" s="1"/>
  <c r="N298" i="13"/>
  <c r="M298" i="13"/>
  <c r="J298" i="13"/>
  <c r="K298" i="13"/>
  <c r="L298" i="13"/>
  <c r="C302" i="13" l="1"/>
  <c r="H300" i="13"/>
  <c r="E301" i="13"/>
  <c r="D301" i="13"/>
  <c r="T300" i="13"/>
  <c r="G300" i="13"/>
  <c r="F296" i="13"/>
  <c r="I296" i="13" s="1"/>
  <c r="O298" i="13"/>
  <c r="P298" i="13" s="1"/>
  <c r="U298" i="13" s="1"/>
  <c r="J299" i="13"/>
  <c r="N299" i="13"/>
  <c r="M299" i="13"/>
  <c r="L299" i="13"/>
  <c r="K299" i="13"/>
  <c r="C303" i="13" l="1"/>
  <c r="H301" i="13"/>
  <c r="E302" i="13"/>
  <c r="D302" i="13"/>
  <c r="T301" i="13"/>
  <c r="G301" i="13"/>
  <c r="F297" i="13"/>
  <c r="I297" i="13" s="1"/>
  <c r="O299" i="13"/>
  <c r="P299" i="13" s="1"/>
  <c r="U299" i="13" s="1"/>
  <c r="N300" i="13"/>
  <c r="M300" i="13"/>
  <c r="L300" i="13"/>
  <c r="J300" i="13"/>
  <c r="K300" i="13"/>
  <c r="C304" i="13" l="1"/>
  <c r="H302" i="13"/>
  <c r="E303" i="13"/>
  <c r="D303" i="13"/>
  <c r="T302" i="13"/>
  <c r="G302" i="13"/>
  <c r="F298" i="13"/>
  <c r="I298" i="13" s="1"/>
  <c r="O300" i="13"/>
  <c r="P300" i="13" s="1"/>
  <c r="U300" i="13" s="1"/>
  <c r="K301" i="13"/>
  <c r="J301" i="13"/>
  <c r="N301" i="13"/>
  <c r="M301" i="13"/>
  <c r="L301" i="13"/>
  <c r="H303" i="13" l="1"/>
  <c r="C305" i="13"/>
  <c r="D304" i="13"/>
  <c r="E304" i="13"/>
  <c r="T303" i="13"/>
  <c r="G303" i="13"/>
  <c r="F299" i="13"/>
  <c r="I299" i="13" s="1"/>
  <c r="O301" i="13"/>
  <c r="P301" i="13" s="1"/>
  <c r="U301" i="13" s="1"/>
  <c r="M302" i="13"/>
  <c r="L302" i="13"/>
  <c r="K302" i="13"/>
  <c r="N302" i="13"/>
  <c r="J302" i="13"/>
  <c r="C306" i="13" l="1"/>
  <c r="H304" i="13"/>
  <c r="E305" i="13"/>
  <c r="D305" i="13"/>
  <c r="T304" i="13"/>
  <c r="G304" i="13"/>
  <c r="F300" i="13"/>
  <c r="I300" i="13" s="1"/>
  <c r="O302" i="13"/>
  <c r="P302" i="13" s="1"/>
  <c r="U302" i="13" s="1"/>
  <c r="N303" i="13"/>
  <c r="K303" i="13"/>
  <c r="M303" i="13"/>
  <c r="L303" i="13"/>
  <c r="J303" i="13"/>
  <c r="C307" i="13" l="1"/>
  <c r="H305" i="13"/>
  <c r="E306" i="13"/>
  <c r="D306" i="13"/>
  <c r="T305" i="13"/>
  <c r="G305" i="13"/>
  <c r="F301" i="13"/>
  <c r="I301" i="13" s="1"/>
  <c r="O303" i="13"/>
  <c r="P303" i="13" s="1"/>
  <c r="U303" i="13" s="1"/>
  <c r="N304" i="13"/>
  <c r="M304" i="13"/>
  <c r="L304" i="13"/>
  <c r="K304" i="13"/>
  <c r="J304" i="13"/>
  <c r="C308" i="13" l="1"/>
  <c r="H306" i="13"/>
  <c r="E307" i="13"/>
  <c r="D307" i="13"/>
  <c r="T306" i="13"/>
  <c r="G306" i="13"/>
  <c r="F302" i="13"/>
  <c r="I302" i="13" s="1"/>
  <c r="O304" i="13"/>
  <c r="P304" i="13" s="1"/>
  <c r="U304" i="13" s="1"/>
  <c r="N305" i="13"/>
  <c r="M305" i="13"/>
  <c r="L305" i="13"/>
  <c r="K305" i="13"/>
  <c r="J305" i="13"/>
  <c r="C309" i="13" l="1"/>
  <c r="H307" i="13"/>
  <c r="E308" i="13"/>
  <c r="D308" i="13"/>
  <c r="T307" i="13"/>
  <c r="G307" i="13"/>
  <c r="F303" i="13"/>
  <c r="I303" i="13" s="1"/>
  <c r="O305" i="13"/>
  <c r="P305" i="13" s="1"/>
  <c r="U305" i="13" s="1"/>
  <c r="N306" i="13"/>
  <c r="M306" i="13"/>
  <c r="J306" i="13"/>
  <c r="L306" i="13"/>
  <c r="K306" i="13"/>
  <c r="H308" i="13" l="1"/>
  <c r="C310" i="13"/>
  <c r="E309" i="13"/>
  <c r="D309" i="13"/>
  <c r="T308" i="13"/>
  <c r="G308" i="13"/>
  <c r="F304" i="13"/>
  <c r="I304" i="13" s="1"/>
  <c r="O306" i="13"/>
  <c r="P306" i="13" s="1"/>
  <c r="U306" i="13" s="1"/>
  <c r="J307" i="13"/>
  <c r="M307" i="13"/>
  <c r="K307" i="13"/>
  <c r="N307" i="13"/>
  <c r="L307" i="13"/>
  <c r="C311" i="13" l="1"/>
  <c r="H309" i="13"/>
  <c r="E310" i="13"/>
  <c r="D310" i="13"/>
  <c r="T309" i="13"/>
  <c r="G309" i="13"/>
  <c r="F305" i="13"/>
  <c r="I305" i="13" s="1"/>
  <c r="O307" i="13"/>
  <c r="P307" i="13" s="1"/>
  <c r="U307" i="13" s="1"/>
  <c r="L308" i="13"/>
  <c r="K308" i="13"/>
  <c r="N308" i="13"/>
  <c r="M308" i="13"/>
  <c r="J308" i="13"/>
  <c r="H310" i="13" l="1"/>
  <c r="C312" i="13"/>
  <c r="E311" i="13"/>
  <c r="D311" i="13"/>
  <c r="T310" i="13"/>
  <c r="G310" i="13"/>
  <c r="F306" i="13"/>
  <c r="I306" i="13" s="1"/>
  <c r="O308" i="13"/>
  <c r="P308" i="13" s="1"/>
  <c r="U308" i="13" s="1"/>
  <c r="N309" i="13"/>
  <c r="J309" i="13"/>
  <c r="M309" i="13"/>
  <c r="L309" i="13"/>
  <c r="K309" i="13"/>
  <c r="C313" i="13" l="1"/>
  <c r="H311" i="13"/>
  <c r="E312" i="13"/>
  <c r="D312" i="13"/>
  <c r="T311" i="13"/>
  <c r="G311" i="13"/>
  <c r="F307" i="13"/>
  <c r="I307" i="13" s="1"/>
  <c r="O309" i="13"/>
  <c r="P309" i="13" s="1"/>
  <c r="U309" i="13" s="1"/>
  <c r="K310" i="13"/>
  <c r="N310" i="13"/>
  <c r="M310" i="13"/>
  <c r="L310" i="13"/>
  <c r="J310" i="13"/>
  <c r="H312" i="13" l="1"/>
  <c r="C314" i="13"/>
  <c r="E313" i="13"/>
  <c r="D313" i="13"/>
  <c r="T312" i="13"/>
  <c r="G312" i="13"/>
  <c r="F308" i="13"/>
  <c r="I308" i="13" s="1"/>
  <c r="O310" i="13"/>
  <c r="P310" i="13" s="1"/>
  <c r="U310" i="13" s="1"/>
  <c r="N311" i="13"/>
  <c r="L311" i="13"/>
  <c r="K311" i="13"/>
  <c r="J311" i="13"/>
  <c r="M311" i="13"/>
  <c r="C315" i="13" l="1"/>
  <c r="H313" i="13"/>
  <c r="E314" i="13"/>
  <c r="D314" i="13"/>
  <c r="T313" i="13"/>
  <c r="G313" i="13"/>
  <c r="F309" i="13"/>
  <c r="I309" i="13" s="1"/>
  <c r="O311" i="13"/>
  <c r="P311" i="13" s="1"/>
  <c r="U311" i="13" s="1"/>
  <c r="N312" i="13"/>
  <c r="M312" i="13"/>
  <c r="L312" i="13"/>
  <c r="K312" i="13"/>
  <c r="J312" i="13"/>
  <c r="C317" i="13" l="1"/>
  <c r="C316" i="13"/>
  <c r="H314" i="13"/>
  <c r="E315" i="13"/>
  <c r="D315" i="13"/>
  <c r="T314" i="13"/>
  <c r="G314" i="13"/>
  <c r="F310" i="13"/>
  <c r="I310" i="13" s="1"/>
  <c r="O312" i="13"/>
  <c r="P312" i="13" s="1"/>
  <c r="U312" i="13" s="1"/>
  <c r="N313" i="13"/>
  <c r="M313" i="13"/>
  <c r="L313" i="13"/>
  <c r="K313" i="13"/>
  <c r="J313" i="13"/>
  <c r="H315" i="13" l="1"/>
  <c r="E316" i="13"/>
  <c r="D316" i="13"/>
  <c r="T315" i="13"/>
  <c r="G315" i="13"/>
  <c r="F311" i="13"/>
  <c r="I311" i="13" s="1"/>
  <c r="O313" i="13"/>
  <c r="P313" i="13" s="1"/>
  <c r="U313" i="13" s="1"/>
  <c r="N314" i="13"/>
  <c r="J314" i="13"/>
  <c r="M314" i="13"/>
  <c r="L314" i="13"/>
  <c r="K314" i="13"/>
  <c r="H316" i="13" l="1"/>
  <c r="E317" i="13"/>
  <c r="D317" i="13"/>
  <c r="T316" i="13"/>
  <c r="G316" i="13"/>
  <c r="F312" i="13"/>
  <c r="I312" i="13" s="1"/>
  <c r="O314" i="13"/>
  <c r="P314" i="13" s="1"/>
  <c r="U314" i="13" s="1"/>
  <c r="J315" i="13"/>
  <c r="N315" i="13"/>
  <c r="M315" i="13"/>
  <c r="L315" i="13"/>
  <c r="K315" i="13"/>
  <c r="H317" i="13" l="1"/>
  <c r="T317" i="13"/>
  <c r="G317" i="13"/>
  <c r="F313" i="13"/>
  <c r="I313" i="13" s="1"/>
  <c r="O315" i="13"/>
  <c r="P315" i="13" s="1"/>
  <c r="U315" i="13" s="1"/>
  <c r="N316" i="13"/>
  <c r="M316" i="13"/>
  <c r="K316" i="13"/>
  <c r="J316" i="13"/>
  <c r="L316" i="13"/>
  <c r="F314" i="13" l="1"/>
  <c r="I314" i="13" s="1"/>
  <c r="O316" i="13"/>
  <c r="P316" i="13" s="1"/>
  <c r="U316" i="13" s="1"/>
  <c r="J317" i="13"/>
  <c r="L317" i="13"/>
  <c r="K317" i="13"/>
  <c r="M317" i="13"/>
  <c r="N317" i="13"/>
  <c r="F315" i="13" l="1"/>
  <c r="I315" i="13" s="1"/>
  <c r="O317" i="13"/>
  <c r="P317" i="13" s="1"/>
  <c r="U317" i="13" s="1"/>
  <c r="F316" i="13" l="1"/>
  <c r="I316" i="13" l="1"/>
  <c r="F317" i="13"/>
  <c r="I317" i="13" s="1"/>
  <c r="C10" i="13" l="1"/>
  <c r="C9" i="13"/>
  <c r="X3" i="13" l="1"/>
  <c r="N22" i="28"/>
  <c r="O22" i="28" s="1"/>
  <c r="T22" i="28" s="1"/>
  <c r="F6" i="13"/>
  <c r="F6" i="28"/>
  <c r="L54" i="9" l="1"/>
  <c r="C10" i="28"/>
  <c r="L17" i="27"/>
  <c r="S18" i="23" l="1"/>
  <c r="S19" i="23"/>
  <c r="T19" i="23" s="1"/>
  <c r="T18" i="23" l="1"/>
  <c r="S20" i="23" l="1"/>
  <c r="S21" i="23" l="1"/>
  <c r="T21" i="23" s="1"/>
  <c r="T20" i="23"/>
  <c r="S22" i="23" l="1"/>
  <c r="S23" i="23" l="1"/>
  <c r="T23" i="23" s="1"/>
  <c r="T22" i="23"/>
  <c r="S24" i="23" l="1"/>
  <c r="S25" i="23" l="1"/>
  <c r="T25" i="23" s="1"/>
  <c r="T24" i="23"/>
  <c r="S26" i="23" l="1"/>
  <c r="T26" i="23" s="1"/>
  <c r="S27" i="23" l="1"/>
  <c r="T27" i="23" s="1"/>
  <c r="S28" i="23" l="1"/>
  <c r="T28" i="23" s="1"/>
  <c r="S29" i="23" l="1"/>
  <c r="T29" i="23" s="1"/>
  <c r="S30" i="23" l="1"/>
  <c r="T30" i="23" s="1"/>
  <c r="S31" i="23" l="1"/>
  <c r="T31" i="23" s="1"/>
  <c r="S32" i="23" l="1"/>
  <c r="T32" i="23" s="1"/>
  <c r="S33" i="23" l="1"/>
  <c r="T33" i="23" s="1"/>
  <c r="S34" i="23" l="1"/>
  <c r="T34" i="23" s="1"/>
  <c r="S35" i="23" l="1"/>
  <c r="T35" i="23" s="1"/>
  <c r="S36" i="23" l="1"/>
  <c r="T36" i="23" s="1"/>
  <c r="S37" i="23" l="1"/>
  <c r="T37" i="23" s="1"/>
  <c r="S38" i="23" l="1"/>
  <c r="T38" i="23" s="1"/>
  <c r="S39" i="23" l="1"/>
  <c r="T39" i="23" s="1"/>
  <c r="S40" i="23" l="1"/>
  <c r="T40" i="23" s="1"/>
  <c r="S41" i="23" l="1"/>
  <c r="T41" i="23" s="1"/>
  <c r="S42" i="23" l="1"/>
  <c r="T42" i="23" s="1"/>
  <c r="S43" i="23" l="1"/>
  <c r="T43" i="23" s="1"/>
  <c r="S44" i="23" l="1"/>
  <c r="T44" i="23" s="1"/>
  <c r="S45" i="23" l="1"/>
  <c r="T45" i="23" s="1"/>
  <c r="S46" i="23" l="1"/>
  <c r="T46" i="23" s="1"/>
  <c r="S47" i="23" l="1"/>
  <c r="T47" i="23" s="1"/>
  <c r="S48" i="23" l="1"/>
  <c r="T48" i="23" s="1"/>
  <c r="S49" i="23" l="1"/>
  <c r="T49" i="23" s="1"/>
  <c r="S50" i="23" l="1"/>
  <c r="T50" i="23" s="1"/>
  <c r="S51" i="23" l="1"/>
  <c r="T51" i="23" s="1"/>
  <c r="S52" i="23" l="1"/>
  <c r="T52" i="23" s="1"/>
  <c r="S53" i="23" l="1"/>
  <c r="T53" i="23" s="1"/>
  <c r="S54" i="23" l="1"/>
  <c r="T54" i="23" s="1"/>
  <c r="S55" i="23" l="1"/>
  <c r="T55" i="23" s="1"/>
  <c r="S56" i="23" l="1"/>
  <c r="T56" i="23" s="1"/>
  <c r="S57" i="23" l="1"/>
  <c r="T57" i="23" s="1"/>
  <c r="S58" i="23" l="1"/>
  <c r="T58" i="23" s="1"/>
  <c r="S59" i="23" l="1"/>
  <c r="T59" i="23" s="1"/>
  <c r="S60" i="23" l="1"/>
  <c r="T60" i="23" s="1"/>
  <c r="S61" i="23" l="1"/>
  <c r="T61" i="23" s="1"/>
  <c r="S62" i="23" l="1"/>
  <c r="T62" i="23" s="1"/>
  <c r="S63" i="23" l="1"/>
  <c r="T63" i="23" s="1"/>
  <c r="S64" i="23" l="1"/>
  <c r="T64" i="23" s="1"/>
  <c r="S65" i="23" l="1"/>
  <c r="T65" i="23" s="1"/>
  <c r="S66" i="23" l="1"/>
  <c r="T66" i="23" s="1"/>
  <c r="S67" i="23" l="1"/>
  <c r="T67" i="23" s="1"/>
  <c r="S68" i="23" l="1"/>
  <c r="T68" i="23" s="1"/>
  <c r="S69" i="23" l="1"/>
  <c r="T69" i="23" s="1"/>
  <c r="S70" i="23" l="1"/>
  <c r="T70" i="23" s="1"/>
  <c r="S71" i="23" l="1"/>
  <c r="T71" i="23" s="1"/>
  <c r="S72" i="23" l="1"/>
  <c r="T72" i="23" s="1"/>
  <c r="S73" i="23" l="1"/>
  <c r="T73" i="23" s="1"/>
  <c r="S74" i="23" l="1"/>
  <c r="T74" i="23" s="1"/>
  <c r="S75" i="23" l="1"/>
  <c r="T75" i="23" s="1"/>
  <c r="S76" i="23" l="1"/>
  <c r="T76" i="23" s="1"/>
  <c r="S77" i="23" l="1"/>
  <c r="T77" i="23" l="1"/>
  <c r="W3" i="23"/>
  <c r="F6" i="23"/>
  <c r="L34" i="9" l="1"/>
  <c r="F6" i="1"/>
  <c r="L17" i="9" l="1"/>
</calcChain>
</file>

<file path=xl/sharedStrings.xml><?xml version="1.0" encoding="utf-8"?>
<sst xmlns="http://schemas.openxmlformats.org/spreadsheetml/2006/main" count="494" uniqueCount="139">
  <si>
    <t>Loan Value</t>
  </si>
  <si>
    <t>Loan Tenor</t>
  </si>
  <si>
    <t>Principal</t>
  </si>
  <si>
    <t>S.No.</t>
  </si>
  <si>
    <t>Monthly Payment Date</t>
  </si>
  <si>
    <t>Principal payment</t>
  </si>
  <si>
    <t>Total Payment</t>
  </si>
  <si>
    <t>APR</t>
  </si>
  <si>
    <t>Service Charge</t>
  </si>
  <si>
    <t>Balloon Payment</t>
  </si>
  <si>
    <t>Cumulative Principal</t>
  </si>
  <si>
    <t>Remaining Principal</t>
  </si>
  <si>
    <t>Balloon Payment Amount</t>
  </si>
  <si>
    <t>Frequency</t>
  </si>
  <si>
    <t>APR Calculation Tool</t>
  </si>
  <si>
    <t>Total Charges</t>
  </si>
  <si>
    <t>Total Amount Paid</t>
  </si>
  <si>
    <t>Loan period in months</t>
  </si>
  <si>
    <t>Personal Finance Details</t>
  </si>
  <si>
    <t>Loan Details</t>
  </si>
  <si>
    <t>Auto Finance Details</t>
  </si>
  <si>
    <t>Credit Card</t>
  </si>
  <si>
    <t>APR Calculator</t>
  </si>
  <si>
    <t>Total Admin fee</t>
  </si>
  <si>
    <t>Charges per frequency</t>
  </si>
  <si>
    <t>Total Charges applicable  on the overall Loan Tenor</t>
  </si>
  <si>
    <t>Fee/Charges</t>
  </si>
  <si>
    <t>Definition</t>
  </si>
  <si>
    <t>Insurance Charges</t>
  </si>
  <si>
    <t>VAT Charges</t>
  </si>
  <si>
    <t>VAT charged on Administration fees, Annual fee and insurance charges</t>
  </si>
  <si>
    <t>Valuation fee</t>
  </si>
  <si>
    <t>Administration fee + related VAT</t>
  </si>
  <si>
    <t>Annual fee +related VAT</t>
  </si>
  <si>
    <t>Insurance + related VAT</t>
  </si>
  <si>
    <t>Valuation fee + related VAT</t>
  </si>
  <si>
    <t>Grace Period (in months)</t>
  </si>
  <si>
    <t>Payment Start Date</t>
  </si>
  <si>
    <t>Payment Schedule</t>
  </si>
  <si>
    <t>Date</t>
  </si>
  <si>
    <t>Amount</t>
  </si>
  <si>
    <t>Payment End Date</t>
  </si>
  <si>
    <t>Instructions for the Template</t>
  </si>
  <si>
    <t>Color Scheme used in the template</t>
  </si>
  <si>
    <t>Section Headers</t>
  </si>
  <si>
    <t>Information is required in percentage</t>
  </si>
  <si>
    <t>Information is required in numbers</t>
  </si>
  <si>
    <t>Information is required in date</t>
  </si>
  <si>
    <t>Auto calculated cells</t>
  </si>
  <si>
    <t>Information should be populated through dropdown selection</t>
  </si>
  <si>
    <t>Sub Headers</t>
  </si>
  <si>
    <t>Input fields</t>
  </si>
  <si>
    <t>Card Allotment/Approval date</t>
  </si>
  <si>
    <t xml:space="preserve">Any other fee </t>
  </si>
  <si>
    <t>Any other fee</t>
  </si>
  <si>
    <t>Any other charges</t>
  </si>
  <si>
    <t>Any other Fee</t>
  </si>
  <si>
    <t>Real Estate Finance Details</t>
  </si>
  <si>
    <t>Payment Date</t>
  </si>
  <si>
    <t>Insurance Year</t>
  </si>
  <si>
    <t>Insurance Rate</t>
  </si>
  <si>
    <t>Car Price</t>
  </si>
  <si>
    <t>Charges per year</t>
  </si>
  <si>
    <t>Payment Lookup</t>
  </si>
  <si>
    <t>Insurance + related VAT*</t>
  </si>
  <si>
    <t>Any Charges paid upfront (including VAT)</t>
  </si>
  <si>
    <t>Upfront payment</t>
  </si>
  <si>
    <t>1st Installment</t>
  </si>
  <si>
    <t>Monthly</t>
  </si>
  <si>
    <t>Annual</t>
  </si>
  <si>
    <t>Schedule of monthly dates when the payment of the facility is due assumed as month end date based on the payment start date and tenor.</t>
  </si>
  <si>
    <t>Remaining principal amount post principal payment.</t>
  </si>
  <si>
    <t>Key Terms</t>
  </si>
  <si>
    <t>Any other fee charged to the borrower related to the financing of the facility e.g., brokerage fee in case of commodity Murahabah.</t>
  </si>
  <si>
    <t>Key Terms and Definitions</t>
  </si>
  <si>
    <t>Update the installment schedule i.e., payment date and payment amount received</t>
  </si>
  <si>
    <t>Depreciation Rate</t>
  </si>
  <si>
    <t>* Including property insurance or/and life insurance charge if charged to the customer separately other than the financing cost</t>
  </si>
  <si>
    <t>APR Calculator for Inconsistent Installments</t>
  </si>
  <si>
    <t>The principal payment paid by the borrower as a part of payment schedule.</t>
  </si>
  <si>
    <t>Cumulative principal payment representing the total payment received till selected payment date/month.</t>
  </si>
  <si>
    <t>Fee charged to the borrowers for obtaining a loan. This would include the fee incurred during the time of application and anything charged post approval of the loan i.e., while processing and sanctioning of the loan (including any documentation and underwriting fee charged). This will be a onetime fee charged to the customers.</t>
  </si>
  <si>
    <t>Fee charged to the borrowers on an annual basis as a renewal/maintenance charge applicable to any facility but specifically to Credit Cards including any protection charges (where applicable).</t>
  </si>
  <si>
    <t>Insurance charges deducted in the form of installments on secured lending i.e., insurance premium charged for the vehicle or the mortgage property (as applicable) and credit cards.</t>
  </si>
  <si>
    <t>Fees/Charges</t>
  </si>
  <si>
    <t>Valuation fee charged to the customer in regard to property valuation for Real Estate Finance</t>
  </si>
  <si>
    <t>Average premium including VAT</t>
  </si>
  <si>
    <t xml:space="preserve">The IRR is the rate at which the net present value of all future cash inflows and outflows is zero. Contrary to IRR formula, the XIRR formula used for the calculation of APR takes into consideration the dates when the cashflows occur. It additionally provides flexibility for calculating the internal rate of return for cashflows with unequal timings and scenarios such as grace period, where the payments should be considered zero for a given period. </t>
  </si>
  <si>
    <t>Yes, since the VAT is associated with the charges/fees in relation to the financing by the borrower. We understand it is collected on behalf of ZATCA/Tax authority; however, the borrower is paying that as part of the financing fees to FIs. Hence, it should be a part of the APR calculation.</t>
  </si>
  <si>
    <r>
      <t xml:space="preserve">For cases where installment amounts are different across periods (e.g., </t>
    </r>
    <r>
      <rPr>
        <sz val="14"/>
        <color rgb="FF222222"/>
        <rFont val="Sakkal Majalla"/>
      </rPr>
      <t>50/50 financing)</t>
    </r>
    <r>
      <rPr>
        <sz val="14"/>
        <color theme="1"/>
        <rFont val="Sakkal Majalla"/>
      </rPr>
      <t>, the APR should be derived using the “Inconsistent Installments” tab in the calculator where the following fields need to be updated/populated by the FI:</t>
    </r>
  </si>
  <si>
    <t>b) Any charges paid upfront by the borrower (on signing the contract) – generally administration charges</t>
  </si>
  <si>
    <t>SAR 10,000 needs to be considered with a repayment period of one-year to calculate the APR.</t>
  </si>
  <si>
    <t>The APR calculator can be used at a single product level. For the 2 in 1 product, the computation and disclosure of the APR for each of the underlying products shall be performed separately i.e., at the level of each product.</t>
  </si>
  <si>
    <r>
      <t>1.</t>
    </r>
    <r>
      <rPr>
        <b/>
        <sz val="7"/>
        <color theme="0"/>
        <rFont val="Times New Roman"/>
        <family val="1"/>
      </rPr>
      <t xml:space="preserve">             </t>
    </r>
    <r>
      <rPr>
        <b/>
        <sz val="14"/>
        <color theme="0"/>
        <rFont val="Sakkal Majalla"/>
      </rPr>
      <t>What is the key difference between the existing IRR and the new XIRR formula used for the APR calculation?</t>
    </r>
  </si>
  <si>
    <r>
      <t>2.</t>
    </r>
    <r>
      <rPr>
        <b/>
        <sz val="7"/>
        <color theme="0"/>
        <rFont val="Times New Roman"/>
        <family val="1"/>
      </rPr>
      <t xml:space="preserve">             </t>
    </r>
    <r>
      <rPr>
        <b/>
        <sz val="14"/>
        <color theme="0"/>
        <rFont val="Sakkal Majalla"/>
      </rPr>
      <t>Should VAT be considered as a part of the administrative fee, insurance, valuation, or any other relevant financing fee for the APR calculation?</t>
    </r>
  </si>
  <si>
    <r>
      <t>3.</t>
    </r>
    <r>
      <rPr>
        <b/>
        <sz val="7"/>
        <color theme="0"/>
        <rFont val="Times New Roman"/>
        <family val="1"/>
      </rPr>
      <t xml:space="preserve">             </t>
    </r>
    <r>
      <rPr>
        <b/>
        <sz val="14"/>
        <color theme="0"/>
        <rFont val="Sakkal Majalla"/>
      </rPr>
      <t>What type of insurance should be considered for APR calculation?</t>
    </r>
  </si>
  <si>
    <r>
      <t>4.</t>
    </r>
    <r>
      <rPr>
        <b/>
        <sz val="7"/>
        <color theme="0"/>
        <rFont val="Times New Roman"/>
        <family val="1"/>
      </rPr>
      <t xml:space="preserve">             </t>
    </r>
    <r>
      <rPr>
        <b/>
        <sz val="14"/>
        <color theme="0"/>
        <rFont val="Sakkal Majalla"/>
      </rPr>
      <t>How can we calculate the APR for inconsistent installments for e.g., step-up, and step-down installments?</t>
    </r>
  </si>
  <si>
    <r>
      <t>5.</t>
    </r>
    <r>
      <rPr>
        <b/>
        <sz val="7"/>
        <color theme="0"/>
        <rFont val="Times New Roman"/>
        <family val="1"/>
      </rPr>
      <t xml:space="preserve">             </t>
    </r>
    <r>
      <rPr>
        <b/>
        <sz val="14"/>
        <color theme="0"/>
        <rFont val="Sakkal Majalla"/>
      </rPr>
      <t>In case of credit card, what loan amount should be considered for the calculation of APR to be disclosed with borrowers?</t>
    </r>
  </si>
  <si>
    <r>
      <t>6.</t>
    </r>
    <r>
      <rPr>
        <b/>
        <sz val="7"/>
        <color theme="0"/>
        <rFont val="Times New Roman"/>
        <family val="1"/>
      </rPr>
      <t xml:space="preserve">             </t>
    </r>
    <r>
      <rPr>
        <b/>
        <sz val="14"/>
        <color theme="0"/>
        <rFont val="Sakkal Majalla"/>
      </rPr>
      <t>How should the APR be calculated for the 2 in 1 product?</t>
    </r>
  </si>
  <si>
    <t>Avg. Charges per frequency</t>
  </si>
  <si>
    <t>Example (1) Calculation of APR on Personal Financing</t>
  </si>
  <si>
    <t>Financing 
Information</t>
  </si>
  <si>
    <t>APR Calculation</t>
  </si>
  <si>
    <t>Example (2) Calculation of APR on Auto Financing</t>
  </si>
  <si>
    <t>Example (3) Calculation of APR on Real Estate Financing</t>
  </si>
  <si>
    <t>Example (4) Calculation of APR on Credit Cards</t>
  </si>
  <si>
    <t>Auto calculated cells / Fixed Input</t>
  </si>
  <si>
    <r>
      <t xml:space="preserve">For </t>
    </r>
    <r>
      <rPr>
        <b/>
        <sz val="14"/>
        <color theme="1"/>
        <rFont val="Sakkal Majalla"/>
      </rPr>
      <t>Auto Financing</t>
    </r>
    <r>
      <rPr>
        <sz val="14"/>
        <color theme="1"/>
        <rFont val="Sakkal Majalla"/>
      </rPr>
      <t xml:space="preserve">, the vehicle insurance is included in APR calculation where the insurance charge should be calculated based on the depreciated value of the vehicle.  There are two possible scenarios: 
</t>
    </r>
    <r>
      <rPr>
        <b/>
        <sz val="14"/>
        <color theme="1"/>
        <rFont val="Sakkal Majalla"/>
      </rPr>
      <t xml:space="preserve">Scenario 1: </t>
    </r>
    <r>
      <rPr>
        <sz val="14"/>
        <color theme="1"/>
        <rFont val="Sakkal Majalla"/>
      </rPr>
      <t xml:space="preserve">The insurance premium is payable in equal monthly installments over the full facility tenor.
</t>
    </r>
    <r>
      <rPr>
        <b/>
        <sz val="14"/>
        <color theme="1"/>
        <rFont val="Sakkal Majalla"/>
      </rPr>
      <t xml:space="preserve">Scenario 2: </t>
    </r>
    <r>
      <rPr>
        <sz val="14"/>
        <color theme="1"/>
        <rFont val="Sakkal Majalla"/>
      </rPr>
      <t>The insurance premium is payable in equal monthly installments during a given year.</t>
    </r>
  </si>
  <si>
    <r>
      <t>For</t>
    </r>
    <r>
      <rPr>
        <b/>
        <sz val="14"/>
        <color theme="1"/>
        <rFont val="Sakkal Majalla"/>
      </rPr>
      <t xml:space="preserve"> Real Estate Financing,</t>
    </r>
    <r>
      <rPr>
        <sz val="14"/>
        <color theme="1"/>
        <rFont val="Sakkal Majalla"/>
      </rPr>
      <t xml:space="preserve"> if the FI is charging insurance to the borrower i.e., either property insurance charges or life insurance charges or both, it should be a part of the APR calculation.</t>
    </r>
  </si>
  <si>
    <r>
      <t xml:space="preserve">For </t>
    </r>
    <r>
      <rPr>
        <b/>
        <sz val="14"/>
        <color theme="1"/>
        <rFont val="Sakkal Majalla"/>
      </rPr>
      <t>Credit Cards</t>
    </r>
    <r>
      <rPr>
        <sz val="14"/>
        <color theme="1"/>
        <rFont val="Sakkal Majalla"/>
      </rPr>
      <t>, only in cases where the insurance is charged to the borrower based on a previous agreement, it should be included in the APR calculation.</t>
    </r>
  </si>
  <si>
    <t>Term Cost</t>
  </si>
  <si>
    <t>Cumulative Term Cost</t>
  </si>
  <si>
    <t>Term cost payment paid by the borrower as a part of payment schedule.</t>
  </si>
  <si>
    <t>Cumulative Term Cost received representing the total term cost received till selected payment date/month.</t>
  </si>
  <si>
    <t>Total fees/charges charged by the FI over and above the principal and term cost.</t>
  </si>
  <si>
    <t>Total payment i.e., principal, term cost and fees/charges paid by the borrower for each payment date/month.</t>
  </si>
  <si>
    <t>Total facility payment i.e., principal and term cost for each payment date/month.</t>
  </si>
  <si>
    <t>Annual Term Cost</t>
  </si>
  <si>
    <t xml:space="preserve">Term Cost </t>
  </si>
  <si>
    <t>Personal financing of SAR 20,000 with term cost of 3.2% for a term of 24 months. The Application fee (inclusive of VAT) charged for financing is SAR 200, charged upfront to the consumer in the beginning.</t>
  </si>
  <si>
    <t>Auto financing of SAR 300,000 with term cost of 5.2% for a term of 60 months. The Application fee (inclusive of VAT) charged for financing is SAR 3,000, charged upfront to the consumer in the beginning. The value of car is SAR 320,000 and insurace is charged at a rate of 3% paid on a monthly  basis (average insurance premium).</t>
  </si>
  <si>
    <t>Credit Card of limit SAR 50,000 with a term cost of 10%. An application fee of SAR 115 is charged upfront to the customer. An annual insurance charge (including VAT) of SAR 25 is charged which will be paid at the year end to the customer.</t>
  </si>
  <si>
    <t>Residential real-estate financing of SAR 1,500,000 with a term cost of 2.35% for a term of 360 months. The Application fee (inclusive of VAT) charged for financing is SAR 2,000 charged upfront. Valuation fee (inclusive of VAT) of SAR 3,000 is charged on an annual frequency to the customer.</t>
  </si>
  <si>
    <t>d) Cash-flows ensuring it incorporates principal, term cost and any other fee/charges related to financing as mentioned in the template based on the product.</t>
  </si>
  <si>
    <t>Annual term cost</t>
  </si>
  <si>
    <t xml:space="preserve">Amount of Financing / Principal </t>
  </si>
  <si>
    <t>The Amount of financing /Principal of the loan to the borrower on the initial loan date. (In the APR Calculator, the principal is net of the down payment amount, where applicable)</t>
  </si>
  <si>
    <t xml:space="preserve">Principal </t>
  </si>
  <si>
    <t xml:space="preserve">a) Principal </t>
  </si>
  <si>
    <t>Date Financing is available</t>
  </si>
  <si>
    <t>Any other Fees/Charges</t>
  </si>
  <si>
    <t/>
  </si>
  <si>
    <r>
      <t xml:space="preserve">Principal payment </t>
    </r>
    <r>
      <rPr>
        <sz val="9"/>
        <color theme="0"/>
        <rFont val="Cambria"/>
        <family val="1"/>
      </rPr>
      <t xml:space="preserve">(including any balloon payments) </t>
    </r>
  </si>
  <si>
    <t>c) Date financing is available</t>
  </si>
  <si>
    <t>Principal Amount</t>
  </si>
  <si>
    <r>
      <t>Input fields</t>
    </r>
    <r>
      <rPr>
        <i/>
        <sz val="9"/>
        <color theme="1"/>
        <rFont val="Cambria"/>
        <family val="1"/>
      </rPr>
      <t xml:space="preserve"> (Absolute Value)</t>
    </r>
  </si>
  <si>
    <t xml:space="preserve"> </t>
  </si>
  <si>
    <r>
      <t>The Input sheet in this template needs to be populated based on the defined color scheme. The other sheets do not require any input.
1. Principal is the amount provided to the customer post any down payment settlements.
2. Date Financing is available refers to the date financing is available to the consumer by the Financial Institution. 
3. Grace period is the number of months waived off before the contractual payment will start. In case there is no grace period provided to the customer, the value remains 0.
4. Payment Start Date is the date from which the monthly contractual payments will start i.e., month end of the contract date in case of no grace period and month end post grace period.
5. The Fee/charges needs to be populated as the total charges for the specific type of charges including the 15% VAT . For e.g., if the annual insurance charged is SAR 200 and the tenor of the loan is 60 months or 5 years, then the value to be populated in column I should be SAR 200*5 = SAR 1000 + 15%VAT.</t>
    </r>
    <r>
      <rPr>
        <i/>
        <u/>
        <sz val="9"/>
        <rFont val="Cambria"/>
        <family val="1"/>
      </rPr>
      <t xml:space="preserve"> All fees, costs and administrative services charges to be recovered from the Borrower by the Creditor must not exceed the equivalent of (1%) of the Amount of Financing or (5,000) five thousand Saudi riyals, whichever is lower.</t>
    </r>
    <r>
      <rPr>
        <sz val="9"/>
        <rFont val="Cambria"/>
        <family val="1"/>
      </rPr>
      <t xml:space="preserve">
6. Select the frequency for each Fee/Charge from the drop-down list; charges per frequency will be calculated accordingly.
7. If the Balloon payment is optional, the cell value can be zero or blank.</t>
    </r>
  </si>
  <si>
    <r>
      <rPr>
        <b/>
        <sz val="9"/>
        <color theme="1"/>
        <rFont val="Cambria"/>
        <family val="1"/>
      </rPr>
      <t xml:space="preserve">where: </t>
    </r>
    <r>
      <rPr>
        <sz val="9"/>
        <color theme="1"/>
        <rFont val="Cambria"/>
        <family val="1"/>
      </rPr>
      <t xml:space="preserve">
1. "t" corresponds to the number of days between the cash flow date and the</t>
    </r>
    <r>
      <rPr>
        <sz val="9"/>
        <rFont val="Cambria"/>
        <family val="1"/>
      </rPr>
      <t xml:space="preserve"> date financing is available.</t>
    </r>
    <r>
      <rPr>
        <sz val="9"/>
        <color theme="1"/>
        <rFont val="Cambria"/>
        <family val="1"/>
      </rPr>
      <t xml:space="preserve"> 
2. "n" corresponds to the last cash flow.
3. For the purpose of examples illustration, the total number of days in the year assumed at 365 (i.e. not a leap year).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</si>
</sst>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6" formatCode="&quot;$&quot;#,##0_);[Red]\(&quot;$&quot;#,##0\)"/>
    <numFmt numFmtId="41" formatCode="_(* #,##0_);_(* \(#,##0\);_(* &quot;-&quot;_);_(@_)"/>
    <numFmt numFmtId="43" formatCode="_(* #,##0.00_);_(* \(#,##0.00\);_(* &quot;-&quot;??_);_(@_)"/>
    <numFmt numFmtId="164" formatCode="_(* #,##0_);_(* \(#,##0\);_(* &quot;-&quot;??_);_(@_)"/>
    <numFmt numFmtId="165" formatCode="0.0%"/>
    <numFmt numFmtId="166" formatCode="_(* #,##0.0_);_(* \(#,##0.0\);_(* &quot;-&quot;??_);_(@_)"/>
    <numFmt numFmtId="167" formatCode="_(* #,##0.00000000_);_(* \(#,##0.00000000\);_(* &quot;-&quot;??_);_(@_)"/>
    <numFmt numFmtId="168" formatCode="_(* #,##0.0_);_(* \(#,##0.0\);_(* &quot;-&quot;?_);_(@_)"/>
    <numFmt numFmtId="169" formatCode="0.0000000000%"/>
    <numFmt numFmtId="170" formatCode="0.0000%"/>
    <numFmt numFmtId="171" formatCode="0.000"/>
    <numFmt numFmtId="172" formatCode="0.0"/>
    <numFmt numFmtId="173" formatCode="_(* #,##0.0000_);_(* \(#,##0.0000\);_(* &quot;-&quot;??_);_(@_)"/>
  </numFmts>
  <fonts count="29" x14ac:knownFonts="1">
    <font>
      <sz val="11"/>
      <color theme="1"/>
      <name val="Calibri"/>
      <family val="2"/>
      <scheme val="minor"/>
    </font>
    <font>
      <sz val="11"/>
      <color theme="1"/>
      <name val="Calibri"/>
      <family val="2"/>
      <scheme val="minor"/>
    </font>
    <font>
      <sz val="9"/>
      <color theme="1"/>
      <name val="Cambria"/>
      <family val="1"/>
    </font>
    <font>
      <b/>
      <sz val="9"/>
      <color theme="0"/>
      <name val="Cambria"/>
      <family val="1"/>
    </font>
    <font>
      <b/>
      <sz val="9"/>
      <color theme="1"/>
      <name val="Cambria"/>
      <family val="1"/>
    </font>
    <font>
      <sz val="10"/>
      <color theme="1"/>
      <name val="Cambria"/>
      <family val="1"/>
    </font>
    <font>
      <b/>
      <sz val="10"/>
      <color rgb="FF333333"/>
      <name val="Cambria"/>
      <family val="1"/>
    </font>
    <font>
      <b/>
      <sz val="10"/>
      <color theme="1"/>
      <name val="Cambria"/>
      <family val="1"/>
    </font>
    <font>
      <b/>
      <sz val="10"/>
      <color theme="0"/>
      <name val="Cambria"/>
      <family val="1"/>
    </font>
    <font>
      <sz val="9"/>
      <name val="Cambria"/>
      <family val="1"/>
    </font>
    <font>
      <sz val="10"/>
      <color rgb="FF666666"/>
      <name val="Open Sans"/>
      <family val="2"/>
    </font>
    <font>
      <b/>
      <sz val="9"/>
      <color rgb="FFFF0000"/>
      <name val="Cambria"/>
      <family val="1"/>
    </font>
    <font>
      <sz val="9"/>
      <color rgb="FFFF0000"/>
      <name val="Cambria"/>
      <family val="1"/>
    </font>
    <font>
      <b/>
      <sz val="11"/>
      <color theme="0"/>
      <name val="Calibri"/>
      <family val="2"/>
      <scheme val="minor"/>
    </font>
    <font>
      <sz val="10"/>
      <color rgb="FF000000"/>
      <name val="Cambria"/>
      <family val="1"/>
    </font>
    <font>
      <sz val="14"/>
      <color theme="1"/>
      <name val="Sakkal Majalla"/>
    </font>
    <font>
      <sz val="14"/>
      <color rgb="FF222222"/>
      <name val="Sakkal Majalla"/>
    </font>
    <font>
      <b/>
      <sz val="14"/>
      <color theme="0"/>
      <name val="Sakkal Majalla"/>
    </font>
    <font>
      <b/>
      <sz val="7"/>
      <color theme="0"/>
      <name val="Times New Roman"/>
      <family val="1"/>
    </font>
    <font>
      <sz val="12"/>
      <color theme="1"/>
      <name val="Sakkal Majalla"/>
    </font>
    <font>
      <b/>
      <sz val="12"/>
      <color theme="0"/>
      <name val="Sakkal Majalla"/>
    </font>
    <font>
      <sz val="12"/>
      <color rgb="FF00653B"/>
      <name val="Sakkal Majalla"/>
    </font>
    <font>
      <b/>
      <sz val="12"/>
      <color theme="1"/>
      <name val="Sakkal Majalla"/>
    </font>
    <font>
      <b/>
      <sz val="14"/>
      <color theme="1"/>
      <name val="Sakkal Majalla"/>
    </font>
    <font>
      <sz val="9"/>
      <color theme="0"/>
      <name val="Cambria"/>
      <family val="1"/>
    </font>
    <font>
      <i/>
      <sz val="9"/>
      <color theme="1"/>
      <name val="Cambria"/>
      <family val="1"/>
    </font>
    <font>
      <i/>
      <u/>
      <sz val="9"/>
      <name val="Cambria"/>
      <family val="1"/>
    </font>
    <font>
      <sz val="14"/>
      <name val="Sakkal Majalla"/>
    </font>
    <font>
      <i/>
      <sz val="9"/>
      <color rgb="FF545454"/>
      <name val="Cambria"/>
      <family val="1"/>
    </font>
  </fonts>
  <fills count="18">
    <fill>
      <patternFill patternType="none"/>
    </fill>
    <fill>
      <patternFill patternType="gray125"/>
    </fill>
    <fill>
      <patternFill patternType="solid">
        <fgColor theme="9" tint="0.79998168889431442"/>
        <bgColor indexed="64"/>
      </patternFill>
    </fill>
    <fill>
      <patternFill patternType="solid">
        <fgColor rgb="FFE2F6EC"/>
        <bgColor indexed="64"/>
      </patternFill>
    </fill>
    <fill>
      <patternFill patternType="solid">
        <fgColor theme="9" tint="-0.499984740745262"/>
        <bgColor indexed="64"/>
      </patternFill>
    </fill>
    <fill>
      <patternFill patternType="solid">
        <fgColor theme="0" tint="-0.499984740745262"/>
        <bgColor indexed="64"/>
      </patternFill>
    </fill>
    <fill>
      <patternFill patternType="solid">
        <fgColor theme="9" tint="-0.249977111117893"/>
        <bgColor indexed="64"/>
      </patternFill>
    </fill>
    <fill>
      <patternFill patternType="solid">
        <fgColor rgb="FF006600"/>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rgb="FFDFEDDF"/>
        <bgColor indexed="64"/>
      </patternFill>
    </fill>
    <fill>
      <patternFill patternType="solid">
        <fgColor rgb="FFF6E2EC"/>
        <bgColor indexed="64"/>
      </patternFill>
    </fill>
    <fill>
      <patternFill patternType="solid">
        <fgColor rgb="FFF6FFF3"/>
        <bgColor indexed="64"/>
      </patternFill>
    </fill>
    <fill>
      <patternFill patternType="solid">
        <fgColor rgb="FFDDDDDD"/>
        <bgColor indexed="64"/>
      </patternFill>
    </fill>
    <fill>
      <patternFill patternType="solid">
        <fgColor rgb="FF24571D"/>
        <bgColor indexed="64"/>
      </patternFill>
    </fill>
    <fill>
      <patternFill patternType="solid">
        <fgColor rgb="FF00653B"/>
        <bgColor indexed="64"/>
      </patternFill>
    </fill>
    <fill>
      <patternFill patternType="solid">
        <fgColor theme="6" tint="0.79998168889431442"/>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right/>
      <top style="thin">
        <color indexed="64"/>
      </top>
      <bottom style="thin">
        <color indexed="64"/>
      </bottom>
      <diagonal/>
    </border>
    <border>
      <left style="thin">
        <color indexed="64"/>
      </left>
      <right/>
      <top/>
      <bottom/>
      <diagonal/>
    </border>
    <border>
      <left/>
      <right/>
      <top style="thin">
        <color indexed="64"/>
      </top>
      <bottom/>
      <diagonal/>
    </border>
    <border>
      <left style="thin">
        <color theme="1" tint="0.499984740745262"/>
      </left>
      <right style="thin">
        <color theme="1" tint="0.499984740745262"/>
      </right>
      <top style="thin">
        <color theme="1" tint="0.499984740745262"/>
      </top>
      <bottom style="thin">
        <color theme="1" tint="0.499984740745262"/>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226">
    <xf numFmtId="0" fontId="0" fillId="0" borderId="0" xfId="0"/>
    <xf numFmtId="0" fontId="2" fillId="0" borderId="0" xfId="0" applyFont="1"/>
    <xf numFmtId="164" fontId="2" fillId="0" borderId="0" xfId="0" applyNumberFormat="1" applyFont="1"/>
    <xf numFmtId="0" fontId="2" fillId="0" borderId="1" xfId="0" applyFont="1" applyBorder="1"/>
    <xf numFmtId="164" fontId="2" fillId="0" borderId="1" xfId="0" applyNumberFormat="1" applyFont="1" applyBorder="1"/>
    <xf numFmtId="164" fontId="2" fillId="0" borderId="1" xfId="1" applyNumberFormat="1" applyFont="1" applyBorder="1"/>
    <xf numFmtId="164" fontId="2" fillId="0" borderId="1" xfId="1" applyNumberFormat="1" applyFont="1" applyBorder="1" applyAlignment="1">
      <alignment horizontal="center" vertical="center"/>
    </xf>
    <xf numFmtId="10" fontId="2" fillId="0" borderId="0" xfId="0" applyNumberFormat="1" applyFont="1"/>
    <xf numFmtId="10" fontId="2" fillId="0" borderId="0" xfId="2" applyNumberFormat="1" applyFont="1"/>
    <xf numFmtId="14" fontId="2" fillId="0" borderId="1" xfId="0" applyNumberFormat="1" applyFont="1" applyBorder="1"/>
    <xf numFmtId="0" fontId="2" fillId="0" borderId="1" xfId="0" applyFont="1" applyFill="1" applyBorder="1"/>
    <xf numFmtId="0" fontId="2" fillId="0" borderId="0" xfId="0" applyFont="1" applyBorder="1"/>
    <xf numFmtId="164" fontId="2" fillId="0" borderId="0" xfId="1" applyNumberFormat="1" applyFont="1"/>
    <xf numFmtId="0" fontId="4" fillId="2" borderId="1" xfId="0" applyFont="1" applyFill="1" applyBorder="1" applyAlignment="1">
      <alignment horizontal="center" vertical="center"/>
    </xf>
    <xf numFmtId="10" fontId="4" fillId="3" borderId="1" xfId="2" applyNumberFormat="1" applyFont="1" applyFill="1" applyBorder="1" applyAlignment="1">
      <alignment horizontal="center" vertical="center"/>
    </xf>
    <xf numFmtId="9" fontId="2" fillId="0" borderId="0" xfId="0" applyNumberFormat="1" applyFont="1"/>
    <xf numFmtId="0" fontId="2" fillId="0" borderId="1" xfId="0" applyFont="1" applyBorder="1" applyAlignment="1">
      <alignment horizontal="center" vertical="center"/>
    </xf>
    <xf numFmtId="16" fontId="4" fillId="3" borderId="1" xfId="0" applyNumberFormat="1" applyFont="1" applyFill="1" applyBorder="1" applyAlignment="1">
      <alignment horizontal="center" vertical="center"/>
    </xf>
    <xf numFmtId="0" fontId="2" fillId="0" borderId="4" xfId="0" applyFont="1" applyBorder="1"/>
    <xf numFmtId="0" fontId="2" fillId="0" borderId="5" xfId="0" applyFont="1" applyBorder="1"/>
    <xf numFmtId="0" fontId="2" fillId="0" borderId="6" xfId="0" applyFont="1" applyBorder="1"/>
    <xf numFmtId="0" fontId="2" fillId="0" borderId="7" xfId="0" applyFont="1" applyBorder="1"/>
    <xf numFmtId="0" fontId="2" fillId="0" borderId="8" xfId="0" applyFont="1" applyBorder="1"/>
    <xf numFmtId="0" fontId="2" fillId="0" borderId="9" xfId="0" applyFont="1" applyBorder="1"/>
    <xf numFmtId="0" fontId="2" fillId="0" borderId="10" xfId="0" applyFont="1" applyBorder="1"/>
    <xf numFmtId="164" fontId="2" fillId="0" borderId="10" xfId="1" applyNumberFormat="1" applyFont="1" applyFill="1" applyBorder="1" applyAlignment="1">
      <alignment horizontal="center" vertical="center"/>
    </xf>
    <xf numFmtId="0" fontId="2" fillId="0" borderId="11" xfId="0" applyFont="1" applyBorder="1"/>
    <xf numFmtId="0" fontId="2" fillId="0" borderId="0" xfId="0" applyFont="1" applyBorder="1" applyAlignment="1">
      <alignment vertical="center"/>
    </xf>
    <xf numFmtId="0" fontId="3" fillId="5" borderId="1" xfId="0" applyFont="1" applyFill="1" applyBorder="1" applyAlignment="1">
      <alignment horizontal="center" vertical="center"/>
    </xf>
    <xf numFmtId="0" fontId="3" fillId="5" borderId="1" xfId="0" applyFont="1" applyFill="1" applyBorder="1" applyAlignment="1">
      <alignment horizontal="center" vertical="center" wrapText="1"/>
    </xf>
    <xf numFmtId="0" fontId="2" fillId="0" borderId="0" xfId="0" applyFont="1" applyAlignment="1">
      <alignment horizontal="center" vertical="center"/>
    </xf>
    <xf numFmtId="0" fontId="2" fillId="0" borderId="5" xfId="0" applyFont="1" applyBorder="1" applyAlignment="1">
      <alignment horizontal="center" vertical="center"/>
    </xf>
    <xf numFmtId="0" fontId="2" fillId="0" borderId="0" xfId="0" applyFont="1" applyBorder="1" applyAlignment="1">
      <alignment horizontal="center" vertical="center"/>
    </xf>
    <xf numFmtId="0" fontId="2" fillId="0" borderId="10" xfId="0" applyFont="1" applyBorder="1" applyAlignment="1">
      <alignment horizontal="center" vertical="center"/>
    </xf>
    <xf numFmtId="0" fontId="5" fillId="0" borderId="0" xfId="0" applyFont="1" applyAlignment="1">
      <alignment wrapText="1"/>
    </xf>
    <xf numFmtId="0" fontId="5" fillId="0" borderId="0" xfId="0" applyFont="1" applyAlignment="1">
      <alignment horizontal="left" vertical="center"/>
    </xf>
    <xf numFmtId="0" fontId="5" fillId="0" borderId="0" xfId="0" applyFont="1"/>
    <xf numFmtId="0" fontId="6" fillId="2" borderId="1" xfId="0" applyFont="1" applyFill="1" applyBorder="1" applyAlignment="1">
      <alignment horizontal="center" vertical="center"/>
    </xf>
    <xf numFmtId="0" fontId="7" fillId="2" borderId="1" xfId="0" applyFont="1" applyFill="1" applyBorder="1" applyAlignment="1">
      <alignment horizontal="center" wrapText="1"/>
    </xf>
    <xf numFmtId="0" fontId="5" fillId="0" borderId="4" xfId="0" applyFont="1" applyBorder="1"/>
    <xf numFmtId="0" fontId="5" fillId="0" borderId="5" xfId="0" applyFont="1" applyBorder="1" applyAlignment="1">
      <alignment wrapText="1"/>
    </xf>
    <xf numFmtId="0" fontId="5" fillId="0" borderId="5" xfId="0" applyFont="1" applyBorder="1"/>
    <xf numFmtId="0" fontId="5" fillId="0" borderId="6" xfId="0" applyFont="1" applyBorder="1"/>
    <xf numFmtId="0" fontId="5" fillId="0" borderId="7" xfId="0" applyFont="1" applyBorder="1"/>
    <xf numFmtId="0" fontId="5" fillId="0" borderId="8" xfId="0" applyFont="1" applyBorder="1"/>
    <xf numFmtId="0" fontId="5" fillId="0" borderId="0" xfId="0" applyFont="1" applyBorder="1" applyAlignment="1">
      <alignment wrapText="1"/>
    </xf>
    <xf numFmtId="0" fontId="5" fillId="0" borderId="0" xfId="0" applyFont="1" applyBorder="1"/>
    <xf numFmtId="0" fontId="5" fillId="0" borderId="9" xfId="0" applyFont="1" applyBorder="1"/>
    <xf numFmtId="0" fontId="5" fillId="0" borderId="10" xfId="0" applyFont="1" applyBorder="1" applyAlignment="1">
      <alignment horizontal="left" vertical="center"/>
    </xf>
    <xf numFmtId="0" fontId="5" fillId="0" borderId="11" xfId="0" applyFont="1" applyBorder="1"/>
    <xf numFmtId="0" fontId="3" fillId="6" borderId="0" xfId="0" applyFont="1" applyFill="1" applyBorder="1" applyAlignment="1"/>
    <xf numFmtId="10" fontId="2" fillId="8" borderId="1" xfId="2" applyNumberFormat="1" applyFont="1" applyFill="1" applyBorder="1"/>
    <xf numFmtId="0" fontId="2" fillId="9" borderId="1" xfId="0" applyFont="1" applyFill="1" applyBorder="1"/>
    <xf numFmtId="0" fontId="3" fillId="6" borderId="2" xfId="0" applyFont="1" applyFill="1" applyBorder="1" applyAlignment="1"/>
    <xf numFmtId="0" fontId="3" fillId="5" borderId="2" xfId="0" applyFont="1" applyFill="1" applyBorder="1" applyAlignment="1">
      <alignment horizontal="left" vertical="center"/>
    </xf>
    <xf numFmtId="0" fontId="2" fillId="8" borderId="2" xfId="0" applyFont="1" applyFill="1" applyBorder="1"/>
    <xf numFmtId="0" fontId="2" fillId="9" borderId="2" xfId="0" applyFont="1" applyFill="1" applyBorder="1"/>
    <xf numFmtId="0" fontId="2" fillId="10" borderId="2" xfId="0" applyFont="1" applyFill="1" applyBorder="1"/>
    <xf numFmtId="164" fontId="2" fillId="11" borderId="1" xfId="1" applyNumberFormat="1" applyFont="1" applyFill="1" applyBorder="1" applyAlignment="1">
      <alignment horizontal="center" vertical="center"/>
    </xf>
    <xf numFmtId="10" fontId="2" fillId="11" borderId="1" xfId="0" applyNumberFormat="1" applyFont="1" applyFill="1" applyBorder="1" applyAlignment="1">
      <alignment horizontal="center" vertical="center"/>
    </xf>
    <xf numFmtId="0" fontId="2" fillId="0" borderId="10" xfId="0" applyFont="1" applyFill="1" applyBorder="1"/>
    <xf numFmtId="0" fontId="9" fillId="0" borderId="1" xfId="0" applyFont="1" applyFill="1" applyBorder="1"/>
    <xf numFmtId="14" fontId="2" fillId="10" borderId="1" xfId="0" applyNumberFormat="1" applyFont="1" applyFill="1" applyBorder="1"/>
    <xf numFmtId="3" fontId="2" fillId="12" borderId="1" xfId="0" applyNumberFormat="1" applyFont="1" applyFill="1" applyBorder="1" applyAlignment="1">
      <alignment horizontal="center" vertical="center"/>
    </xf>
    <xf numFmtId="0" fontId="4" fillId="0" borderId="0" xfId="0" applyFont="1"/>
    <xf numFmtId="14" fontId="2" fillId="0" borderId="0" xfId="0" applyNumberFormat="1" applyFont="1" applyBorder="1"/>
    <xf numFmtId="0" fontId="2" fillId="0" borderId="0" xfId="0" applyFont="1" applyFill="1" applyBorder="1"/>
    <xf numFmtId="43" fontId="2" fillId="9" borderId="2" xfId="1" applyFont="1" applyFill="1" applyBorder="1"/>
    <xf numFmtId="43" fontId="2" fillId="0" borderId="0" xfId="1" applyFont="1"/>
    <xf numFmtId="164" fontId="2" fillId="9" borderId="1" xfId="1" applyNumberFormat="1" applyFont="1" applyFill="1" applyBorder="1"/>
    <xf numFmtId="164" fontId="10" fillId="0" borderId="0" xfId="0" applyNumberFormat="1" applyFont="1"/>
    <xf numFmtId="43" fontId="2" fillId="0" borderId="0" xfId="0" applyNumberFormat="1" applyFont="1"/>
    <xf numFmtId="164" fontId="2" fillId="0" borderId="0" xfId="0" applyNumberFormat="1" applyFont="1" applyBorder="1"/>
    <xf numFmtId="165" fontId="2" fillId="0" borderId="0" xfId="2" applyNumberFormat="1" applyFont="1"/>
    <xf numFmtId="164" fontId="11" fillId="0" borderId="0" xfId="0" applyNumberFormat="1" applyFont="1"/>
    <xf numFmtId="164" fontId="12" fillId="0" borderId="0" xfId="0" applyNumberFormat="1" applyFont="1"/>
    <xf numFmtId="14" fontId="2" fillId="0" borderId="0" xfId="0" applyNumberFormat="1" applyFont="1"/>
    <xf numFmtId="2" fontId="2" fillId="0" borderId="0" xfId="0" applyNumberFormat="1" applyFont="1" applyBorder="1" applyAlignment="1">
      <alignment horizontal="center" vertical="center"/>
    </xf>
    <xf numFmtId="0" fontId="11" fillId="0" borderId="0" xfId="0" applyFont="1"/>
    <xf numFmtId="43" fontId="2" fillId="0" borderId="0" xfId="1" applyFont="1" applyBorder="1" applyAlignment="1">
      <alignment horizontal="center" vertical="center"/>
    </xf>
    <xf numFmtId="166" fontId="2" fillId="11" borderId="1" xfId="1" applyNumberFormat="1" applyFont="1" applyFill="1" applyBorder="1" applyAlignment="1">
      <alignment horizontal="center" vertical="center"/>
    </xf>
    <xf numFmtId="164" fontId="2" fillId="9" borderId="2" xfId="1" applyNumberFormat="1" applyFont="1" applyFill="1" applyBorder="1"/>
    <xf numFmtId="43" fontId="2" fillId="11" borderId="1" xfId="1" applyFont="1" applyFill="1" applyBorder="1" applyAlignment="1">
      <alignment horizontal="center" vertical="center"/>
    </xf>
    <xf numFmtId="10" fontId="2" fillId="0" borderId="0" xfId="2" applyNumberFormat="1" applyFont="1" applyAlignment="1">
      <alignment horizontal="center" vertical="center"/>
    </xf>
    <xf numFmtId="167" fontId="2" fillId="0" borderId="0" xfId="1" applyNumberFormat="1" applyFont="1" applyBorder="1" applyAlignment="1">
      <alignment horizontal="center" vertical="center"/>
    </xf>
    <xf numFmtId="164" fontId="0" fillId="13" borderId="1" xfId="1" applyNumberFormat="1" applyFont="1" applyFill="1" applyBorder="1"/>
    <xf numFmtId="0" fontId="0" fillId="13" borderId="1" xfId="0" applyFill="1" applyBorder="1"/>
    <xf numFmtId="15" fontId="0" fillId="13" borderId="1" xfId="0" applyNumberFormat="1" applyFill="1" applyBorder="1"/>
    <xf numFmtId="164" fontId="2" fillId="14" borderId="1" xfId="1" applyNumberFormat="1" applyFont="1" applyFill="1" applyBorder="1" applyAlignment="1">
      <alignment horizontal="center" vertical="center"/>
    </xf>
    <xf numFmtId="14" fontId="2" fillId="14" borderId="1" xfId="1" applyNumberFormat="1" applyFont="1" applyFill="1" applyBorder="1" applyAlignment="1">
      <alignment horizontal="center" vertical="center"/>
    </xf>
    <xf numFmtId="14" fontId="0" fillId="13" borderId="1" xfId="0" applyNumberFormat="1" applyFill="1" applyBorder="1"/>
    <xf numFmtId="0" fontId="5" fillId="0" borderId="0" xfId="0" applyFont="1" applyAlignment="1">
      <alignment horizontal="center" vertical="center"/>
    </xf>
    <xf numFmtId="0" fontId="14" fillId="0" borderId="1" xfId="0" applyFont="1" applyBorder="1" applyAlignment="1">
      <alignment horizontal="justify" vertical="center"/>
    </xf>
    <xf numFmtId="0" fontId="14" fillId="0" borderId="1" xfId="0" applyFont="1" applyBorder="1" applyAlignment="1">
      <alignment horizontal="justify" vertical="center" wrapText="1"/>
    </xf>
    <xf numFmtId="0" fontId="14" fillId="0" borderId="1" xfId="0" applyFont="1" applyBorder="1" applyAlignment="1">
      <alignment horizontal="center" vertical="center" wrapText="1"/>
    </xf>
    <xf numFmtId="164" fontId="4" fillId="11" borderId="1" xfId="1" applyNumberFormat="1" applyFont="1" applyFill="1" applyBorder="1" applyAlignment="1">
      <alignment horizontal="center" vertical="center"/>
    </xf>
    <xf numFmtId="10" fontId="2" fillId="14" borderId="1" xfId="2" applyNumberFormat="1" applyFont="1" applyFill="1" applyBorder="1" applyAlignment="1">
      <alignment horizontal="center" vertical="center"/>
    </xf>
    <xf numFmtId="168" fontId="2" fillId="0" borderId="0" xfId="0" applyNumberFormat="1" applyFont="1"/>
    <xf numFmtId="41" fontId="2" fillId="0" borderId="1" xfId="0" applyNumberFormat="1" applyFont="1" applyBorder="1"/>
    <xf numFmtId="41" fontId="2" fillId="0" borderId="0" xfId="0" applyNumberFormat="1" applyFont="1"/>
    <xf numFmtId="0" fontId="2" fillId="0" borderId="0" xfId="0" applyFont="1" applyAlignment="1">
      <alignment vertical="center" wrapText="1"/>
    </xf>
    <xf numFmtId="0" fontId="2" fillId="0" borderId="7" xfId="0" applyFont="1" applyBorder="1" applyAlignment="1">
      <alignment vertical="center" wrapText="1"/>
    </xf>
    <xf numFmtId="0" fontId="2" fillId="0" borderId="0" xfId="0" applyFont="1" applyBorder="1" applyAlignment="1">
      <alignment vertical="center" wrapText="1"/>
    </xf>
    <xf numFmtId="0" fontId="2" fillId="0" borderId="8" xfId="0" applyFont="1" applyBorder="1" applyAlignment="1">
      <alignment vertical="center" wrapText="1"/>
    </xf>
    <xf numFmtId="41" fontId="2" fillId="0" borderId="0" xfId="2" applyNumberFormat="1" applyFont="1"/>
    <xf numFmtId="15" fontId="2" fillId="0" borderId="0" xfId="2" applyNumberFormat="1" applyFont="1"/>
    <xf numFmtId="15" fontId="2" fillId="0" borderId="0" xfId="0" applyNumberFormat="1" applyFont="1"/>
    <xf numFmtId="6" fontId="2" fillId="0" borderId="0" xfId="0" applyNumberFormat="1" applyFont="1"/>
    <xf numFmtId="0" fontId="3" fillId="0" borderId="0" xfId="0" applyFont="1" applyFill="1" applyBorder="1" applyAlignment="1">
      <alignment horizontal="center" vertical="center"/>
    </xf>
    <xf numFmtId="10" fontId="2" fillId="0" borderId="0" xfId="0" applyNumberFormat="1" applyFont="1" applyFill="1" applyBorder="1" applyAlignment="1">
      <alignment horizontal="center" vertical="center"/>
    </xf>
    <xf numFmtId="165" fontId="2" fillId="0" borderId="0" xfId="0" applyNumberFormat="1" applyFont="1"/>
    <xf numFmtId="169" fontId="2" fillId="0" borderId="0" xfId="0" applyNumberFormat="1" applyFont="1"/>
    <xf numFmtId="0" fontId="0" fillId="0" borderId="0" xfId="0" applyAlignment="1"/>
    <xf numFmtId="0" fontId="17" fillId="15" borderId="15" xfId="0" applyFont="1" applyFill="1" applyBorder="1" applyAlignment="1">
      <alignment horizontal="justify" vertical="center"/>
    </xf>
    <xf numFmtId="0" fontId="15" fillId="0" borderId="16" xfId="0" applyFont="1" applyBorder="1" applyAlignment="1">
      <alignment horizontal="left" vertical="center" wrapText="1" indent="2"/>
    </xf>
    <xf numFmtId="0" fontId="15" fillId="0" borderId="16" xfId="0" applyFont="1" applyBorder="1" applyAlignment="1">
      <alignment horizontal="justify" vertical="center"/>
    </xf>
    <xf numFmtId="0" fontId="15" fillId="0" borderId="18" xfId="0" applyFont="1" applyBorder="1" applyAlignment="1">
      <alignment horizontal="justify" vertical="center"/>
    </xf>
    <xf numFmtId="0" fontId="15" fillId="0" borderId="17" xfId="0" applyFont="1" applyBorder="1" applyAlignment="1">
      <alignment horizontal="justify" vertical="center"/>
    </xf>
    <xf numFmtId="0" fontId="17" fillId="15" borderId="1" xfId="0" applyFont="1" applyFill="1" applyBorder="1" applyAlignment="1">
      <alignment horizontal="justify" vertical="center"/>
    </xf>
    <xf numFmtId="0" fontId="15" fillId="0" borderId="1" xfId="0" applyFont="1" applyBorder="1" applyAlignment="1">
      <alignment horizontal="justify" vertical="center"/>
    </xf>
    <xf numFmtId="164" fontId="2" fillId="0" borderId="0" xfId="1" applyNumberFormat="1" applyFont="1" applyFill="1" applyBorder="1" applyAlignment="1">
      <alignment horizontal="center" vertical="center"/>
    </xf>
    <xf numFmtId="164" fontId="2" fillId="0" borderId="8" xfId="1" applyNumberFormat="1" applyFont="1" applyBorder="1"/>
    <xf numFmtId="170" fontId="2" fillId="0" borderId="0" xfId="2" applyNumberFormat="1" applyFont="1"/>
    <xf numFmtId="164" fontId="3" fillId="0" borderId="0" xfId="0" applyNumberFormat="1" applyFont="1" applyFill="1" applyBorder="1" applyAlignment="1">
      <alignment horizontal="center" vertical="center" wrapText="1"/>
    </xf>
    <xf numFmtId="164" fontId="2" fillId="0" borderId="0" xfId="0" applyNumberFormat="1" applyFont="1" applyBorder="1" applyAlignment="1">
      <alignment horizontal="center" vertical="center"/>
    </xf>
    <xf numFmtId="0" fontId="3" fillId="6" borderId="2" xfId="0" applyFont="1" applyFill="1" applyBorder="1"/>
    <xf numFmtId="0" fontId="3" fillId="6" borderId="0" xfId="0" applyFont="1" applyFill="1"/>
    <xf numFmtId="0" fontId="2" fillId="0" borderId="0" xfId="0" applyFont="1" applyAlignment="1">
      <alignment vertical="center"/>
    </xf>
    <xf numFmtId="0" fontId="3" fillId="0" borderId="0" xfId="0" applyFont="1" applyAlignment="1">
      <alignment horizontal="center" vertical="center"/>
    </xf>
    <xf numFmtId="10" fontId="2" fillId="0" borderId="0" xfId="0" applyNumberFormat="1" applyFont="1" applyAlignment="1">
      <alignment horizontal="center" vertical="center"/>
    </xf>
    <xf numFmtId="0" fontId="9" fillId="0" borderId="1" xfId="0" applyFont="1" applyBorder="1"/>
    <xf numFmtId="2" fontId="2" fillId="0" borderId="0" xfId="0" applyNumberFormat="1" applyFont="1" applyAlignment="1">
      <alignment horizontal="center" vertical="center"/>
    </xf>
    <xf numFmtId="0" fontId="9" fillId="0" borderId="1" xfId="0" applyFont="1" applyBorder="1" applyAlignment="1">
      <alignment vertical="center" wrapText="1"/>
    </xf>
    <xf numFmtId="166" fontId="4" fillId="11" borderId="1" xfId="1" applyNumberFormat="1" applyFont="1" applyFill="1" applyBorder="1" applyAlignment="1">
      <alignment horizontal="center" vertical="center"/>
    </xf>
    <xf numFmtId="0" fontId="19" fillId="0" borderId="0" xfId="0" applyFont="1"/>
    <xf numFmtId="0" fontId="21" fillId="0" borderId="0" xfId="0" applyFont="1"/>
    <xf numFmtId="0" fontId="22" fillId="0" borderId="1" xfId="0" applyFont="1" applyBorder="1" applyAlignment="1">
      <alignment horizontal="center" vertical="center"/>
    </xf>
    <xf numFmtId="0" fontId="20" fillId="16" borderId="1" xfId="0" applyFont="1" applyFill="1" applyBorder="1" applyAlignment="1">
      <alignment horizontal="center"/>
    </xf>
    <xf numFmtId="171" fontId="2" fillId="0" borderId="0" xfId="0" applyNumberFormat="1" applyFont="1"/>
    <xf numFmtId="172" fontId="2" fillId="0" borderId="0" xfId="0" applyNumberFormat="1" applyFont="1"/>
    <xf numFmtId="173" fontId="2" fillId="0" borderId="0" xfId="0" applyNumberFormat="1" applyFont="1"/>
    <xf numFmtId="0" fontId="15" fillId="0" borderId="18" xfId="0" applyFont="1" applyBorder="1" applyAlignment="1">
      <alignment horizontal="justify" vertical="center" wrapText="1"/>
    </xf>
    <xf numFmtId="166" fontId="2" fillId="0" borderId="0" xfId="1" applyNumberFormat="1" applyFont="1" applyFill="1" applyBorder="1" applyAlignment="1">
      <alignment horizontal="center" vertical="center"/>
    </xf>
    <xf numFmtId="0" fontId="2" fillId="0" borderId="0" xfId="0" applyFont="1" applyFill="1"/>
    <xf numFmtId="16" fontId="4" fillId="0" borderId="0" xfId="0" applyNumberFormat="1" applyFont="1" applyFill="1" applyBorder="1" applyAlignment="1">
      <alignment horizontal="center" vertical="center" wrapText="1"/>
    </xf>
    <xf numFmtId="10" fontId="4" fillId="0" borderId="0" xfId="2" applyNumberFormat="1" applyFont="1" applyFill="1" applyBorder="1" applyAlignment="1">
      <alignment horizontal="center" vertical="center"/>
    </xf>
    <xf numFmtId="0" fontId="4" fillId="0" borderId="0" xfId="0" applyFont="1" applyAlignment="1">
      <alignment horizontal="center"/>
    </xf>
    <xf numFmtId="0" fontId="3" fillId="6" borderId="2" xfId="0" applyFont="1" applyFill="1" applyBorder="1" applyAlignment="1">
      <alignment horizontal="center"/>
    </xf>
    <xf numFmtId="0" fontId="2" fillId="13" borderId="1" xfId="0" applyFont="1" applyFill="1" applyBorder="1" applyAlignment="1">
      <alignment horizontal="center"/>
    </xf>
    <xf numFmtId="0" fontId="0" fillId="0" borderId="0" xfId="0" applyAlignment="1">
      <alignment horizontal="center"/>
    </xf>
    <xf numFmtId="14" fontId="0" fillId="13" borderId="1" xfId="0" applyNumberFormat="1" applyFill="1" applyBorder="1" applyAlignment="1">
      <alignment horizontal="center"/>
    </xf>
    <xf numFmtId="43" fontId="0" fillId="0" borderId="0" xfId="1" applyFont="1"/>
    <xf numFmtId="164" fontId="0" fillId="14" borderId="1" xfId="1" applyNumberFormat="1" applyFont="1" applyFill="1" applyBorder="1"/>
    <xf numFmtId="0" fontId="3" fillId="6" borderId="2" xfId="0" applyFont="1" applyFill="1" applyBorder="1" applyAlignment="1">
      <alignment horizontal="center" vertical="center" wrapText="1"/>
    </xf>
    <xf numFmtId="9" fontId="2" fillId="9" borderId="1" xfId="2" applyFont="1" applyFill="1" applyBorder="1" applyAlignment="1">
      <alignment horizontal="center" vertical="center"/>
    </xf>
    <xf numFmtId="10" fontId="2" fillId="11" borderId="1" xfId="2" applyNumberFormat="1" applyFont="1" applyFill="1" applyBorder="1" applyAlignment="1">
      <alignment horizontal="center" vertical="center"/>
    </xf>
    <xf numFmtId="164" fontId="2" fillId="0" borderId="1" xfId="1" applyNumberFormat="1" applyFont="1" applyFill="1" applyBorder="1" applyAlignment="1">
      <alignment horizontal="center" vertical="center"/>
    </xf>
    <xf numFmtId="164" fontId="2" fillId="9" borderId="1" xfId="1" applyNumberFormat="1" applyFont="1" applyFill="1" applyBorder="1" applyAlignment="1">
      <alignment vertical="center"/>
    </xf>
    <xf numFmtId="0" fontId="2" fillId="11" borderId="1" xfId="0" applyFont="1" applyFill="1" applyBorder="1" applyAlignment="1">
      <alignment horizontal="right" vertical="center" wrapText="1"/>
    </xf>
    <xf numFmtId="0" fontId="2" fillId="11" borderId="1" xfId="0" applyFont="1" applyFill="1" applyBorder="1" applyAlignment="1">
      <alignment horizontal="right"/>
    </xf>
    <xf numFmtId="0" fontId="27" fillId="0" borderId="18" xfId="0" applyFont="1" applyFill="1" applyBorder="1" applyAlignment="1">
      <alignment horizontal="justify" vertical="center"/>
    </xf>
    <xf numFmtId="3" fontId="2" fillId="0" borderId="0" xfId="2" applyNumberFormat="1" applyFont="1"/>
    <xf numFmtId="14" fontId="2" fillId="0" borderId="1" xfId="0" applyNumberFormat="1" applyFont="1" applyFill="1" applyBorder="1"/>
    <xf numFmtId="0" fontId="2" fillId="0" borderId="16" xfId="0" applyFont="1" applyBorder="1" applyAlignment="1">
      <alignment horizontal="center" vertical="center"/>
    </xf>
    <xf numFmtId="14" fontId="2" fillId="0" borderId="16" xfId="0" applyNumberFormat="1" applyFont="1" applyBorder="1"/>
    <xf numFmtId="164" fontId="2" fillId="0" borderId="16" xfId="1" applyNumberFormat="1" applyFont="1" applyBorder="1" applyAlignment="1">
      <alignment horizontal="center" vertical="center"/>
    </xf>
    <xf numFmtId="164" fontId="2" fillId="0" borderId="16" xfId="0" applyNumberFormat="1" applyFont="1" applyBorder="1"/>
    <xf numFmtId="164" fontId="2" fillId="0" borderId="16" xfId="1" applyNumberFormat="1" applyFont="1" applyBorder="1"/>
    <xf numFmtId="0" fontId="2" fillId="0" borderId="21" xfId="0" applyFont="1" applyBorder="1" applyAlignment="1">
      <alignment horizontal="center" vertical="center"/>
    </xf>
    <xf numFmtId="14" fontId="2" fillId="0" borderId="21" xfId="0" applyNumberFormat="1" applyFont="1" applyBorder="1"/>
    <xf numFmtId="164" fontId="2" fillId="0" borderId="21" xfId="1" applyNumberFormat="1" applyFont="1" applyBorder="1" applyAlignment="1">
      <alignment horizontal="center" vertical="center"/>
    </xf>
    <xf numFmtId="164" fontId="2" fillId="0" borderId="21" xfId="0" applyNumberFormat="1" applyFont="1" applyBorder="1"/>
    <xf numFmtId="164" fontId="2" fillId="0" borderId="21" xfId="1" applyNumberFormat="1" applyFont="1" applyBorder="1"/>
    <xf numFmtId="43" fontId="2" fillId="0" borderId="0" xfId="1" applyFont="1" applyBorder="1"/>
    <xf numFmtId="164" fontId="2" fillId="0" borderId="0" xfId="1" applyNumberFormat="1" applyFont="1" applyBorder="1" applyAlignment="1">
      <alignment horizontal="center" vertical="center"/>
    </xf>
    <xf numFmtId="164" fontId="2" fillId="0" borderId="0" xfId="1" applyNumberFormat="1" applyFont="1" applyBorder="1"/>
    <xf numFmtId="14" fontId="2" fillId="0" borderId="21" xfId="0" applyNumberFormat="1" applyFont="1" applyFill="1" applyBorder="1"/>
    <xf numFmtId="14" fontId="2" fillId="0" borderId="0" xfId="0" applyNumberFormat="1" applyFont="1" applyFill="1" applyBorder="1"/>
    <xf numFmtId="172" fontId="2" fillId="0" borderId="0" xfId="0" applyNumberFormat="1" applyFont="1" applyBorder="1"/>
    <xf numFmtId="0" fontId="28" fillId="17" borderId="22" xfId="0" applyFont="1" applyFill="1" applyBorder="1"/>
    <xf numFmtId="1" fontId="28" fillId="17" borderId="22" xfId="0" applyNumberFormat="1" applyFont="1" applyFill="1" applyBorder="1"/>
    <xf numFmtId="0" fontId="2" fillId="0" borderId="1" xfId="0" applyFont="1" applyFill="1" applyBorder="1" applyAlignment="1">
      <alignment horizontal="center" vertical="center"/>
    </xf>
    <xf numFmtId="0" fontId="8" fillId="7" borderId="1" xfId="0" applyFont="1" applyFill="1" applyBorder="1" applyAlignment="1">
      <alignment horizontal="center" vertical="center"/>
    </xf>
    <xf numFmtId="0" fontId="8" fillId="7" borderId="12" xfId="0" applyFont="1" applyFill="1" applyBorder="1" applyAlignment="1">
      <alignment horizontal="center"/>
    </xf>
    <xf numFmtId="0" fontId="8" fillId="7" borderId="13" xfId="0" applyFont="1" applyFill="1" applyBorder="1" applyAlignment="1">
      <alignment horizontal="center"/>
    </xf>
    <xf numFmtId="0" fontId="2" fillId="0" borderId="1" xfId="0" applyFont="1" applyBorder="1" applyAlignment="1">
      <alignment horizontal="left"/>
    </xf>
    <xf numFmtId="164" fontId="3" fillId="5" borderId="2" xfId="1" applyNumberFormat="1" applyFont="1" applyFill="1" applyBorder="1" applyAlignment="1">
      <alignment horizontal="left" vertical="center"/>
    </xf>
    <xf numFmtId="164" fontId="3" fillId="5" borderId="3" xfId="1" applyNumberFormat="1" applyFont="1" applyFill="1" applyBorder="1" applyAlignment="1">
      <alignment horizontal="left" vertical="center"/>
    </xf>
    <xf numFmtId="0" fontId="3" fillId="5" borderId="1" xfId="0" applyFont="1" applyFill="1" applyBorder="1" applyAlignment="1">
      <alignment horizontal="center"/>
    </xf>
    <xf numFmtId="0" fontId="3" fillId="6" borderId="0" xfId="0" applyFont="1" applyFill="1" applyBorder="1" applyAlignment="1">
      <alignment horizontal="center"/>
    </xf>
    <xf numFmtId="0" fontId="3" fillId="5" borderId="2" xfId="0" applyFont="1" applyFill="1" applyBorder="1" applyAlignment="1">
      <alignment horizontal="center" vertical="center"/>
    </xf>
    <xf numFmtId="0" fontId="3" fillId="5" borderId="3" xfId="0" applyFont="1" applyFill="1" applyBorder="1" applyAlignment="1">
      <alignment horizontal="center" vertical="center"/>
    </xf>
    <xf numFmtId="164" fontId="3" fillId="5" borderId="1" xfId="1" applyNumberFormat="1" applyFont="1" applyFill="1" applyBorder="1" applyAlignment="1">
      <alignment horizontal="left" vertical="center"/>
    </xf>
    <xf numFmtId="0" fontId="3" fillId="5" borderId="2" xfId="0" applyFont="1" applyFill="1" applyBorder="1" applyAlignment="1">
      <alignment horizontal="center"/>
    </xf>
    <xf numFmtId="0" fontId="3" fillId="5" borderId="3" xfId="0" applyFont="1" applyFill="1" applyBorder="1" applyAlignment="1">
      <alignment horizontal="center"/>
    </xf>
    <xf numFmtId="0" fontId="9" fillId="0" borderId="1" xfId="0" applyFont="1" applyBorder="1" applyAlignment="1">
      <alignment horizontal="left" vertical="center" wrapText="1"/>
    </xf>
    <xf numFmtId="0" fontId="4" fillId="2" borderId="1" xfId="0" applyFont="1" applyFill="1" applyBorder="1" applyAlignment="1">
      <alignment horizontal="center"/>
    </xf>
    <xf numFmtId="0" fontId="3" fillId="6" borderId="1" xfId="0" applyFont="1" applyFill="1" applyBorder="1" applyAlignment="1">
      <alignment horizontal="center"/>
    </xf>
    <xf numFmtId="0" fontId="3" fillId="4" borderId="0" xfId="0" applyFont="1" applyFill="1" applyAlignment="1">
      <alignment horizontal="center" vertical="center"/>
    </xf>
    <xf numFmtId="0" fontId="12" fillId="0" borderId="14" xfId="0" applyFont="1" applyFill="1" applyBorder="1" applyAlignment="1">
      <alignment horizontal="center"/>
    </xf>
    <xf numFmtId="0" fontId="2" fillId="0" borderId="1" xfId="0" applyFont="1" applyFill="1" applyBorder="1" applyAlignment="1">
      <alignment horizontal="left"/>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0"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0" fillId="0" borderId="10" xfId="0" applyBorder="1" applyAlignment="1">
      <alignment horizontal="center" vertical="center" wrapText="1"/>
    </xf>
    <xf numFmtId="0" fontId="0" fillId="0" borderId="11" xfId="0" applyBorder="1" applyAlignment="1">
      <alignment horizontal="center" vertical="center" wrapText="1"/>
    </xf>
    <xf numFmtId="164" fontId="13" fillId="7" borderId="20" xfId="1" applyNumberFormat="1" applyFont="1" applyFill="1" applyBorder="1" applyAlignment="1">
      <alignment horizontal="center" vertical="center"/>
    </xf>
    <xf numFmtId="164" fontId="13" fillId="7" borderId="0" xfId="1" applyNumberFormat="1" applyFont="1" applyFill="1" applyBorder="1" applyAlignment="1">
      <alignment horizontal="center" vertical="center"/>
    </xf>
    <xf numFmtId="10" fontId="20" fillId="16" borderId="2" xfId="0" applyNumberFormat="1" applyFont="1" applyFill="1" applyBorder="1" applyAlignment="1">
      <alignment horizontal="center"/>
    </xf>
    <xf numFmtId="0" fontId="20" fillId="16" borderId="19" xfId="0" applyFont="1" applyFill="1" applyBorder="1" applyAlignment="1">
      <alignment horizontal="center"/>
    </xf>
    <xf numFmtId="0" fontId="20" fillId="16" borderId="3" xfId="0" applyFont="1" applyFill="1" applyBorder="1" applyAlignment="1">
      <alignment horizontal="center"/>
    </xf>
    <xf numFmtId="0" fontId="2" fillId="0" borderId="0" xfId="0" applyFont="1" applyAlignment="1">
      <alignment horizontal="left" wrapText="1"/>
    </xf>
    <xf numFmtId="0" fontId="19" fillId="0" borderId="2" xfId="0" applyFont="1" applyBorder="1" applyAlignment="1">
      <alignment horizontal="center"/>
    </xf>
    <xf numFmtId="0" fontId="19" fillId="0" borderId="19" xfId="0" applyFont="1" applyBorder="1" applyAlignment="1">
      <alignment horizontal="center"/>
    </xf>
    <xf numFmtId="0" fontId="19" fillId="0" borderId="3" xfId="0" applyFont="1" applyBorder="1" applyAlignment="1">
      <alignment horizontal="center"/>
    </xf>
    <xf numFmtId="0" fontId="20" fillId="16" borderId="1" xfId="0" applyFont="1" applyFill="1" applyBorder="1" applyAlignment="1">
      <alignment horizontal="center"/>
    </xf>
    <xf numFmtId="0" fontId="22" fillId="0" borderId="1" xfId="0" applyFont="1" applyBorder="1" applyAlignment="1">
      <alignment horizontal="center" vertical="center" wrapText="1"/>
    </xf>
    <xf numFmtId="0" fontId="22" fillId="0" borderId="1" xfId="0" applyFont="1" applyBorder="1" applyAlignment="1">
      <alignment horizontal="center" vertical="center"/>
    </xf>
    <xf numFmtId="0" fontId="19" fillId="0" borderId="1" xfId="0" applyFont="1" applyBorder="1" applyAlignment="1">
      <alignment horizontal="left" wrapText="1"/>
    </xf>
    <xf numFmtId="0" fontId="19" fillId="0" borderId="1" xfId="0" applyFont="1" applyBorder="1" applyAlignment="1">
      <alignment horizontal="left" vertical="center" wrapText="1"/>
    </xf>
    <xf numFmtId="0" fontId="3" fillId="6" borderId="0" xfId="0" applyFont="1" applyFill="1" applyAlignment="1">
      <alignment horizontal="center"/>
    </xf>
    <xf numFmtId="0" fontId="12" fillId="0" borderId="14" xfId="0" applyFont="1" applyBorder="1" applyAlignment="1">
      <alignment horizontal="center"/>
    </xf>
  </cellXfs>
  <cellStyles count="3">
    <cellStyle name="Comma" xfId="1" builtinId="3"/>
    <cellStyle name="Normal" xfId="0" builtinId="0"/>
    <cellStyle name="Percent" xfId="2" builtinId="5"/>
  </cellStyles>
  <dxfs count="5">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s>
  <tableStyles count="0" defaultTableStyle="TableStyleMedium2" defaultPivotStyle="PivotStyleLight16"/>
  <colors>
    <mruColors>
      <color rgb="FF545454"/>
      <color rgb="FF24571D"/>
      <color rgb="FF006600"/>
      <color rgb="FFCEE4CE"/>
      <color rgb="FFDDDDDD"/>
      <color rgb="FFEFF3FB"/>
      <color rgb="FFF6FFF3"/>
      <color rgb="FFDFEDDF"/>
      <color rgb="FFF6E2EC"/>
      <color rgb="FF0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10</xdr:col>
      <xdr:colOff>106680</xdr:colOff>
      <xdr:row>15</xdr:row>
      <xdr:rowOff>76200</xdr:rowOff>
    </xdr:from>
    <xdr:to>
      <xdr:col>11</xdr:col>
      <xdr:colOff>0</xdr:colOff>
      <xdr:row>15</xdr:row>
      <xdr:rowOff>76200</xdr:rowOff>
    </xdr:to>
    <xdr:cxnSp macro="">
      <xdr:nvCxnSpPr>
        <xdr:cNvPr id="3" name="Straight Arrow Connector 2">
          <a:extLst>
            <a:ext uri="{FF2B5EF4-FFF2-40B4-BE49-F238E27FC236}">
              <a16:creationId xmlns:a16="http://schemas.microsoft.com/office/drawing/2014/main" id="{11FB8FE9-C8B7-4AC8-9B23-F2D0A35489BC}"/>
            </a:ext>
          </a:extLst>
        </xdr:cNvPr>
        <xdr:cNvCxnSpPr/>
      </xdr:nvCxnSpPr>
      <xdr:spPr>
        <a:xfrm flipH="1">
          <a:off x="11231880" y="3284220"/>
          <a:ext cx="198120" cy="0"/>
        </a:xfrm>
        <a:prstGeom prst="straightConnector1">
          <a:avLst/>
        </a:prstGeom>
        <a:ln>
          <a:tailEnd type="triangle"/>
        </a:ln>
      </xdr:spPr>
      <xdr:style>
        <a:lnRef idx="3">
          <a:schemeClr val="dk1"/>
        </a:lnRef>
        <a:fillRef idx="0">
          <a:schemeClr val="dk1"/>
        </a:fillRef>
        <a:effectRef idx="2">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oneCellAnchor>
    <xdr:from>
      <xdr:col>4</xdr:col>
      <xdr:colOff>224123</xdr:colOff>
      <xdr:row>5</xdr:row>
      <xdr:rowOff>244632</xdr:rowOff>
    </xdr:from>
    <xdr:ext cx="5894737" cy="471647"/>
    <mc:AlternateContent xmlns:mc="http://schemas.openxmlformats.org/markup-compatibility/2006" xmlns:a14="http://schemas.microsoft.com/office/drawing/2010/main">
      <mc:Choice Requires="a14">
        <xdr:sp macro="" textlink="">
          <xdr:nvSpPr>
            <xdr:cNvPr id="2" name="TextBox 1">
              <a:extLst>
                <a:ext uri="{FF2B5EF4-FFF2-40B4-BE49-F238E27FC236}">
                  <a16:creationId xmlns:a16="http://schemas.microsoft.com/office/drawing/2014/main" id="{18ED53E9-2B75-4FDA-8E79-84074C47D4A7}"/>
                </a:ext>
              </a:extLst>
            </xdr:cNvPr>
            <xdr:cNvSpPr txBox="1"/>
          </xdr:nvSpPr>
          <xdr:spPr>
            <a:xfrm>
              <a:off x="3355943" y="1494312"/>
              <a:ext cx="5894737" cy="47164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14:m>
                <m:oMath xmlns:m="http://schemas.openxmlformats.org/officeDocument/2006/math">
                  <m:d>
                    <m:dPr>
                      <m:ctrlPr>
                        <a:rPr lang="en-US" sz="1200" b="0" i="1">
                          <a:latin typeface="Cambria Math" panose="02040503050406030204" pitchFamily="18" charset="0"/>
                          <a:ea typeface="Cambria Math" panose="02040503050406030204" pitchFamily="18" charset="0"/>
                        </a:rPr>
                      </m:ctrlPr>
                    </m:dPr>
                    <m:e>
                      <m:r>
                        <a:rPr lang="en-US" sz="1200" b="0" i="1">
                          <a:latin typeface="Cambria Math" panose="02040503050406030204" pitchFamily="18" charset="0"/>
                          <a:ea typeface="Cambria Math" panose="02040503050406030204" pitchFamily="18" charset="0"/>
                        </a:rPr>
                        <m:t>20,000 −200</m:t>
                      </m:r>
                    </m:e>
                  </m:d>
                  <m:r>
                    <a:rPr lang="en-US" sz="1200" b="0" i="1">
                      <a:latin typeface="Cambria Math" panose="02040503050406030204" pitchFamily="18" charset="0"/>
                      <a:ea typeface="Cambria Math" panose="02040503050406030204" pitchFamily="18" charset="0"/>
                    </a:rPr>
                    <m:t>=19,800</m:t>
                  </m:r>
                  <m:r>
                    <a:rPr lang="en-US" sz="1200" b="0" i="1">
                      <a:solidFill>
                        <a:schemeClr val="tx1"/>
                      </a:solidFill>
                      <a:effectLst/>
                      <a:latin typeface="Cambria Math" panose="02040503050406030204" pitchFamily="18" charset="0"/>
                      <a:ea typeface="Cambria Math" panose="02040503050406030204" pitchFamily="18" charset="0"/>
                      <a:cs typeface="+mn-cs"/>
                    </a:rPr>
                    <m:t> </m:t>
                  </m:r>
                  <m:r>
                    <a:rPr lang="en-US" sz="1200" b="0" i="1">
                      <a:latin typeface="Cambria Math" panose="02040503050406030204" pitchFamily="18" charset="0"/>
                      <a:ea typeface="Cambria Math" panose="02040503050406030204" pitchFamily="18" charset="0"/>
                    </a:rPr>
                    <m:t>=</m:t>
                  </m:r>
                  <m:f>
                    <m:fPr>
                      <m:ctrlPr>
                        <a:rPr lang="en-US" sz="1200" b="0" i="1">
                          <a:latin typeface="Cambria Math" panose="02040503050406030204" pitchFamily="18" charset="0"/>
                          <a:ea typeface="Cambria Math" panose="02040503050406030204" pitchFamily="18" charset="0"/>
                        </a:rPr>
                      </m:ctrlPr>
                    </m:fPr>
                    <m:num>
                      <m:r>
                        <a:rPr lang="en-US" sz="1200" b="0" i="1">
                          <a:latin typeface="Cambria Math" panose="02040503050406030204" pitchFamily="18" charset="0"/>
                          <a:ea typeface="Cambria Math" panose="02040503050406030204" pitchFamily="18" charset="0"/>
                        </a:rPr>
                        <m:t>861</m:t>
                      </m:r>
                    </m:num>
                    <m:den>
                      <m:sSup>
                        <m:sSupPr>
                          <m:ctrlPr>
                            <a:rPr lang="en-US" sz="1200" b="0" i="1">
                              <a:latin typeface="Cambria Math" panose="02040503050406030204" pitchFamily="18" charset="0"/>
                              <a:ea typeface="Cambria Math" panose="02040503050406030204" pitchFamily="18" charset="0"/>
                            </a:rPr>
                          </m:ctrlPr>
                        </m:sSupPr>
                        <m:e>
                          <m:d>
                            <m:dPr>
                              <m:ctrlPr>
                                <a:rPr lang="en-US" sz="1200" b="0" i="1">
                                  <a:latin typeface="Cambria Math" panose="02040503050406030204" pitchFamily="18" charset="0"/>
                                  <a:ea typeface="Cambria Math" panose="02040503050406030204" pitchFamily="18" charset="0"/>
                                </a:rPr>
                              </m:ctrlPr>
                            </m:dPr>
                            <m:e>
                              <m:r>
                                <a:rPr lang="en-US" sz="1200" b="0" i="1">
                                  <a:latin typeface="Cambria Math" panose="02040503050406030204" pitchFamily="18" charset="0"/>
                                  <a:ea typeface="Cambria Math" panose="02040503050406030204" pitchFamily="18" charset="0"/>
                                </a:rPr>
                                <m:t>1+</m:t>
                              </m:r>
                              <m:r>
                                <a:rPr lang="en-US" sz="1200" b="0" i="1">
                                  <a:latin typeface="Cambria Math" panose="02040503050406030204" pitchFamily="18" charset="0"/>
                                  <a:ea typeface="Cambria Math" panose="02040503050406030204" pitchFamily="18" charset="0"/>
                                </a:rPr>
                                <m:t>𝐼𝑅𝑅</m:t>
                              </m:r>
                            </m:e>
                          </m:d>
                        </m:e>
                        <m:sup>
                          <m:f>
                            <m:fPr>
                              <m:ctrlPr>
                                <a:rPr lang="en-US" sz="1200" b="0" i="1">
                                  <a:latin typeface="Cambria Math" panose="02040503050406030204" pitchFamily="18" charset="0"/>
                                  <a:ea typeface="Cambria Math" panose="02040503050406030204" pitchFamily="18" charset="0"/>
                                </a:rPr>
                              </m:ctrlPr>
                            </m:fPr>
                            <m:num>
                              <m:sSub>
                                <m:sSubPr>
                                  <m:ctrlPr>
                                    <a:rPr lang="en-US" sz="1200" b="0" i="1">
                                      <a:latin typeface="Cambria Math" panose="02040503050406030204" pitchFamily="18" charset="0"/>
                                      <a:ea typeface="Cambria Math" panose="02040503050406030204" pitchFamily="18" charset="0"/>
                                    </a:rPr>
                                  </m:ctrlPr>
                                </m:sSubPr>
                                <m:e>
                                  <m:r>
                                    <a:rPr lang="en-US" sz="1200" b="0" i="1">
                                      <a:latin typeface="Cambria Math" panose="02040503050406030204" pitchFamily="18" charset="0"/>
                                      <a:ea typeface="Cambria Math" panose="02040503050406030204" pitchFamily="18" charset="0"/>
                                    </a:rPr>
                                    <m:t>𝑡</m:t>
                                  </m:r>
                                </m:e>
                                <m:sub>
                                  <m:r>
                                    <a:rPr lang="en-US" sz="1200" b="0" i="1">
                                      <a:latin typeface="Cambria Math" panose="02040503050406030204" pitchFamily="18" charset="0"/>
                                      <a:ea typeface="Cambria Math" panose="02040503050406030204" pitchFamily="18" charset="0"/>
                                    </a:rPr>
                                    <m:t>1</m:t>
                                  </m:r>
                                </m:sub>
                              </m:sSub>
                            </m:num>
                            <m:den>
                              <m:r>
                                <a:rPr lang="en-US" sz="1200" b="0" i="1">
                                  <a:latin typeface="Cambria Math" panose="02040503050406030204" pitchFamily="18" charset="0"/>
                                  <a:ea typeface="Cambria Math" panose="02040503050406030204" pitchFamily="18" charset="0"/>
                                </a:rPr>
                                <m:t>365</m:t>
                              </m:r>
                            </m:den>
                          </m:f>
                        </m:sup>
                      </m:sSup>
                    </m:den>
                  </m:f>
                </m:oMath>
              </a14:m>
              <a:r>
                <a:rPr lang="en-US" sz="1200">
                  <a:latin typeface="Cambria Math" panose="02040503050406030204" pitchFamily="18" charset="0"/>
                  <a:ea typeface="Cambria Math" panose="02040503050406030204" pitchFamily="18" charset="0"/>
                  <a:cs typeface="Times New Roman" panose="02020603050405020304" pitchFamily="18" charset="0"/>
                </a:rPr>
                <a:t>+ </a:t>
              </a:r>
              <a14:m>
                <m:oMath xmlns:m="http://schemas.openxmlformats.org/officeDocument/2006/math">
                  <m:f>
                    <m:fPr>
                      <m:ctrlPr>
                        <a:rPr lang="en-US" sz="1200" b="0" i="1">
                          <a:solidFill>
                            <a:schemeClr val="tx1"/>
                          </a:solidFill>
                          <a:effectLst/>
                          <a:latin typeface="Cambria Math" panose="02040503050406030204" pitchFamily="18" charset="0"/>
                          <a:ea typeface="Cambria Math" panose="02040503050406030204" pitchFamily="18" charset="0"/>
                          <a:cs typeface="+mn-cs"/>
                        </a:rPr>
                      </m:ctrlPr>
                    </m:fPr>
                    <m:num>
                      <m:r>
                        <a:rPr lang="en-US" sz="1200" b="0" i="1">
                          <a:solidFill>
                            <a:schemeClr val="tx1"/>
                          </a:solidFill>
                          <a:effectLst/>
                          <a:latin typeface="Cambria Math" panose="02040503050406030204" pitchFamily="18" charset="0"/>
                          <a:ea typeface="Cambria Math" panose="02040503050406030204" pitchFamily="18" charset="0"/>
                          <a:cs typeface="+mn-cs"/>
                        </a:rPr>
                        <m:t>861</m:t>
                      </m:r>
                    </m:num>
                    <m:den>
                      <m:sSup>
                        <m:sSupPr>
                          <m:ctrlPr>
                            <a:rPr lang="en-US" sz="1200" b="0" i="1">
                              <a:solidFill>
                                <a:schemeClr val="tx1"/>
                              </a:solidFill>
                              <a:effectLst/>
                              <a:latin typeface="Cambria Math" panose="02040503050406030204" pitchFamily="18" charset="0"/>
                              <a:ea typeface="Cambria Math" panose="02040503050406030204" pitchFamily="18" charset="0"/>
                              <a:cs typeface="+mn-cs"/>
                            </a:rPr>
                          </m:ctrlPr>
                        </m:sSupPr>
                        <m:e>
                          <m:d>
                            <m:dPr>
                              <m:ctrlPr>
                                <a:rPr lang="en-US" sz="1200" b="0" i="1">
                                  <a:solidFill>
                                    <a:schemeClr val="tx1"/>
                                  </a:solidFill>
                                  <a:effectLst/>
                                  <a:latin typeface="Cambria Math" panose="02040503050406030204" pitchFamily="18" charset="0"/>
                                  <a:ea typeface="Cambria Math" panose="02040503050406030204" pitchFamily="18" charset="0"/>
                                  <a:cs typeface="+mn-cs"/>
                                </a:rPr>
                              </m:ctrlPr>
                            </m:dPr>
                            <m:e>
                              <m:r>
                                <a:rPr lang="en-US" sz="1200" b="0" i="1">
                                  <a:solidFill>
                                    <a:schemeClr val="tx1"/>
                                  </a:solidFill>
                                  <a:effectLst/>
                                  <a:latin typeface="Cambria Math" panose="02040503050406030204" pitchFamily="18" charset="0"/>
                                  <a:ea typeface="Cambria Math" panose="02040503050406030204" pitchFamily="18" charset="0"/>
                                  <a:cs typeface="+mn-cs"/>
                                </a:rPr>
                                <m:t>1+</m:t>
                              </m:r>
                              <m:r>
                                <a:rPr lang="en-US" sz="1200" b="0" i="1">
                                  <a:solidFill>
                                    <a:schemeClr val="tx1"/>
                                  </a:solidFill>
                                  <a:effectLst/>
                                  <a:latin typeface="Cambria Math" panose="02040503050406030204" pitchFamily="18" charset="0"/>
                                  <a:ea typeface="Cambria Math" panose="02040503050406030204" pitchFamily="18" charset="0"/>
                                  <a:cs typeface="+mn-cs"/>
                                </a:rPr>
                                <m:t>𝐼𝑅𝑅</m:t>
                              </m:r>
                            </m:e>
                          </m:d>
                        </m:e>
                        <m:sup>
                          <m:f>
                            <m:fPr>
                              <m:ctrlPr>
                                <a:rPr lang="en-US" sz="1100" b="0" i="1">
                                  <a:solidFill>
                                    <a:schemeClr val="tx1"/>
                                  </a:solidFill>
                                  <a:effectLst/>
                                  <a:latin typeface="Cambria Math" panose="02040503050406030204" pitchFamily="18" charset="0"/>
                                  <a:ea typeface="+mn-ea"/>
                                  <a:cs typeface="+mn-cs"/>
                                </a:rPr>
                              </m:ctrlPr>
                            </m:fPr>
                            <m:num>
                              <m:sSub>
                                <m:sSubPr>
                                  <m:ctrlPr>
                                    <a:rPr lang="en-US" sz="1100" b="0" i="1">
                                      <a:solidFill>
                                        <a:schemeClr val="tx1"/>
                                      </a:solidFill>
                                      <a:effectLst/>
                                      <a:latin typeface="Cambria Math" panose="02040503050406030204" pitchFamily="18" charset="0"/>
                                      <a:ea typeface="+mn-ea"/>
                                      <a:cs typeface="+mn-cs"/>
                                    </a:rPr>
                                  </m:ctrlPr>
                                </m:sSubPr>
                                <m:e>
                                  <m:r>
                                    <a:rPr lang="en-US" sz="1100" b="0" i="1">
                                      <a:solidFill>
                                        <a:schemeClr val="tx1"/>
                                      </a:solidFill>
                                      <a:effectLst/>
                                      <a:latin typeface="Cambria Math" panose="02040503050406030204" pitchFamily="18" charset="0"/>
                                      <a:ea typeface="+mn-ea"/>
                                      <a:cs typeface="+mn-cs"/>
                                    </a:rPr>
                                    <m:t>𝑡</m:t>
                                  </m:r>
                                </m:e>
                                <m:sub>
                                  <m:r>
                                    <a:rPr lang="en-US" sz="1100" b="0" i="1">
                                      <a:solidFill>
                                        <a:schemeClr val="tx1"/>
                                      </a:solidFill>
                                      <a:effectLst/>
                                      <a:latin typeface="Cambria Math" panose="02040503050406030204" pitchFamily="18" charset="0"/>
                                      <a:ea typeface="+mn-ea"/>
                                      <a:cs typeface="+mn-cs"/>
                                    </a:rPr>
                                    <m:t>2</m:t>
                                  </m:r>
                                </m:sub>
                              </m:sSub>
                            </m:num>
                            <m:den>
                              <m:r>
                                <a:rPr lang="en-US" sz="1100" b="0" i="1">
                                  <a:solidFill>
                                    <a:schemeClr val="tx1"/>
                                  </a:solidFill>
                                  <a:effectLst/>
                                  <a:latin typeface="Cambria Math" panose="02040503050406030204" pitchFamily="18" charset="0"/>
                                  <a:ea typeface="+mn-ea"/>
                                  <a:cs typeface="+mn-cs"/>
                                </a:rPr>
                                <m:t>365</m:t>
                              </m:r>
                            </m:den>
                          </m:f>
                        </m:sup>
                      </m:sSup>
                    </m:den>
                  </m:f>
                  <m:r>
                    <a:rPr lang="en-US" sz="1200" b="0" i="1">
                      <a:solidFill>
                        <a:schemeClr val="tx1"/>
                      </a:solidFill>
                      <a:effectLst/>
                      <a:latin typeface="Cambria Math" panose="02040503050406030204" pitchFamily="18" charset="0"/>
                      <a:ea typeface="Cambria Math" panose="02040503050406030204" pitchFamily="18" charset="0"/>
                      <a:cs typeface="+mn-cs"/>
                    </a:rPr>
                    <m:t>+</m:t>
                  </m:r>
                  <m:f>
                    <m:fPr>
                      <m:ctrlPr>
                        <a:rPr lang="en-US" sz="1200" b="0" i="1">
                          <a:solidFill>
                            <a:schemeClr val="tx1"/>
                          </a:solidFill>
                          <a:effectLst/>
                          <a:latin typeface="Cambria Math" panose="02040503050406030204" pitchFamily="18" charset="0"/>
                          <a:ea typeface="Cambria Math" panose="02040503050406030204" pitchFamily="18" charset="0"/>
                          <a:cs typeface="+mn-cs"/>
                        </a:rPr>
                      </m:ctrlPr>
                    </m:fPr>
                    <m:num>
                      <m:r>
                        <a:rPr lang="en-US" sz="1200" b="0" i="1">
                          <a:solidFill>
                            <a:schemeClr val="tx1"/>
                          </a:solidFill>
                          <a:effectLst/>
                          <a:latin typeface="Cambria Math" panose="02040503050406030204" pitchFamily="18" charset="0"/>
                          <a:ea typeface="Cambria Math" panose="02040503050406030204" pitchFamily="18" charset="0"/>
                          <a:cs typeface="+mn-cs"/>
                        </a:rPr>
                        <m:t>861</m:t>
                      </m:r>
                    </m:num>
                    <m:den>
                      <m:sSup>
                        <m:sSupPr>
                          <m:ctrlPr>
                            <a:rPr lang="en-US" sz="1200" b="0" i="1">
                              <a:solidFill>
                                <a:schemeClr val="tx1"/>
                              </a:solidFill>
                              <a:effectLst/>
                              <a:latin typeface="Cambria Math" panose="02040503050406030204" pitchFamily="18" charset="0"/>
                              <a:ea typeface="Cambria Math" panose="02040503050406030204" pitchFamily="18" charset="0"/>
                              <a:cs typeface="+mn-cs"/>
                            </a:rPr>
                          </m:ctrlPr>
                        </m:sSupPr>
                        <m:e>
                          <m:d>
                            <m:dPr>
                              <m:ctrlPr>
                                <a:rPr lang="en-US" sz="1200" b="0" i="1">
                                  <a:solidFill>
                                    <a:schemeClr val="tx1"/>
                                  </a:solidFill>
                                  <a:effectLst/>
                                  <a:latin typeface="Cambria Math" panose="02040503050406030204" pitchFamily="18" charset="0"/>
                                  <a:ea typeface="Cambria Math" panose="02040503050406030204" pitchFamily="18" charset="0"/>
                                  <a:cs typeface="+mn-cs"/>
                                </a:rPr>
                              </m:ctrlPr>
                            </m:dPr>
                            <m:e>
                              <m:r>
                                <a:rPr lang="en-US" sz="1200" b="0" i="1">
                                  <a:solidFill>
                                    <a:schemeClr val="tx1"/>
                                  </a:solidFill>
                                  <a:effectLst/>
                                  <a:latin typeface="Cambria Math" panose="02040503050406030204" pitchFamily="18" charset="0"/>
                                  <a:ea typeface="Cambria Math" panose="02040503050406030204" pitchFamily="18" charset="0"/>
                                  <a:cs typeface="+mn-cs"/>
                                </a:rPr>
                                <m:t>1+</m:t>
                              </m:r>
                              <m:r>
                                <a:rPr lang="en-US" sz="1200" b="0" i="1">
                                  <a:solidFill>
                                    <a:schemeClr val="tx1"/>
                                  </a:solidFill>
                                  <a:effectLst/>
                                  <a:latin typeface="Cambria Math" panose="02040503050406030204" pitchFamily="18" charset="0"/>
                                  <a:ea typeface="Cambria Math" panose="02040503050406030204" pitchFamily="18" charset="0"/>
                                  <a:cs typeface="+mn-cs"/>
                                </a:rPr>
                                <m:t>𝐼𝑅𝑅</m:t>
                              </m:r>
                            </m:e>
                          </m:d>
                        </m:e>
                        <m:sup>
                          <m:f>
                            <m:fPr>
                              <m:ctrlPr>
                                <a:rPr lang="en-US" sz="1200" b="0" i="1">
                                  <a:solidFill>
                                    <a:schemeClr val="tx1"/>
                                  </a:solidFill>
                                  <a:effectLst/>
                                  <a:latin typeface="Cambria Math" panose="02040503050406030204" pitchFamily="18" charset="0"/>
                                  <a:ea typeface="Cambria Math" panose="02040503050406030204" pitchFamily="18" charset="0"/>
                                  <a:cs typeface="+mn-cs"/>
                                </a:rPr>
                              </m:ctrlPr>
                            </m:fPr>
                            <m:num>
                              <m:sSub>
                                <m:sSubPr>
                                  <m:ctrlPr>
                                    <a:rPr lang="en-US" sz="1100" b="0" i="1">
                                      <a:solidFill>
                                        <a:schemeClr val="tx1"/>
                                      </a:solidFill>
                                      <a:effectLst/>
                                      <a:latin typeface="Cambria Math" panose="02040503050406030204" pitchFamily="18" charset="0"/>
                                      <a:ea typeface="+mn-ea"/>
                                      <a:cs typeface="+mn-cs"/>
                                    </a:rPr>
                                  </m:ctrlPr>
                                </m:sSubPr>
                                <m:e>
                                  <m:r>
                                    <a:rPr lang="en-US" sz="1100" b="0" i="1">
                                      <a:solidFill>
                                        <a:schemeClr val="tx1"/>
                                      </a:solidFill>
                                      <a:effectLst/>
                                      <a:latin typeface="Cambria Math" panose="02040503050406030204" pitchFamily="18" charset="0"/>
                                      <a:ea typeface="+mn-ea"/>
                                      <a:cs typeface="+mn-cs"/>
                                    </a:rPr>
                                    <m:t>𝑡</m:t>
                                  </m:r>
                                </m:e>
                                <m:sub>
                                  <m:r>
                                    <a:rPr lang="en-US" sz="1100" b="0" i="1">
                                      <a:solidFill>
                                        <a:schemeClr val="tx1"/>
                                      </a:solidFill>
                                      <a:effectLst/>
                                      <a:latin typeface="Cambria Math" panose="02040503050406030204" pitchFamily="18" charset="0"/>
                                      <a:ea typeface="+mn-ea"/>
                                      <a:cs typeface="+mn-cs"/>
                                    </a:rPr>
                                    <m:t>3</m:t>
                                  </m:r>
                                </m:sub>
                              </m:sSub>
                            </m:num>
                            <m:den>
                              <m:r>
                                <a:rPr lang="en-US" sz="1200" b="0" i="1">
                                  <a:solidFill>
                                    <a:schemeClr val="tx1"/>
                                  </a:solidFill>
                                  <a:effectLst/>
                                  <a:latin typeface="Cambria Math" panose="02040503050406030204" pitchFamily="18" charset="0"/>
                                  <a:ea typeface="Cambria Math" panose="02040503050406030204" pitchFamily="18" charset="0"/>
                                  <a:cs typeface="+mn-cs"/>
                                </a:rPr>
                                <m:t>365</m:t>
                              </m:r>
                            </m:den>
                          </m:f>
                        </m:sup>
                      </m:sSup>
                    </m:den>
                  </m:f>
                </m:oMath>
              </a14:m>
              <a:r>
                <a:rPr lang="en-US" sz="1200">
                  <a:latin typeface="Cambria Math" panose="02040503050406030204" pitchFamily="18" charset="0"/>
                  <a:ea typeface="Cambria Math" panose="02040503050406030204" pitchFamily="18" charset="0"/>
                  <a:cs typeface="Times New Roman" panose="02020603050405020304" pitchFamily="18" charset="0"/>
                </a:rPr>
                <a:t>+ ..... + </a:t>
              </a:r>
              <a14:m>
                <m:oMath xmlns:m="http://schemas.openxmlformats.org/officeDocument/2006/math">
                  <m:f>
                    <m:fPr>
                      <m:ctrlPr>
                        <a:rPr lang="en-US" sz="1200" b="0" i="1">
                          <a:solidFill>
                            <a:schemeClr val="tx1"/>
                          </a:solidFill>
                          <a:effectLst/>
                          <a:latin typeface="Cambria Math" panose="02040503050406030204" pitchFamily="18" charset="0"/>
                          <a:ea typeface="Cambria Math" panose="02040503050406030204" pitchFamily="18" charset="0"/>
                          <a:cs typeface="+mn-cs"/>
                        </a:rPr>
                      </m:ctrlPr>
                    </m:fPr>
                    <m:num>
                      <m:r>
                        <a:rPr lang="en-US" sz="1200" b="0" i="1">
                          <a:solidFill>
                            <a:schemeClr val="tx1"/>
                          </a:solidFill>
                          <a:effectLst/>
                          <a:latin typeface="Cambria Math" panose="02040503050406030204" pitchFamily="18" charset="0"/>
                          <a:ea typeface="Cambria Math" panose="02040503050406030204" pitchFamily="18" charset="0"/>
                          <a:cs typeface="+mn-cs"/>
                        </a:rPr>
                        <m:t>861</m:t>
                      </m:r>
                    </m:num>
                    <m:den>
                      <m:sSup>
                        <m:sSupPr>
                          <m:ctrlPr>
                            <a:rPr lang="en-US" sz="1200" b="0" i="1">
                              <a:solidFill>
                                <a:schemeClr val="tx1"/>
                              </a:solidFill>
                              <a:effectLst/>
                              <a:latin typeface="Cambria Math" panose="02040503050406030204" pitchFamily="18" charset="0"/>
                              <a:ea typeface="Cambria Math" panose="02040503050406030204" pitchFamily="18" charset="0"/>
                              <a:cs typeface="+mn-cs"/>
                            </a:rPr>
                          </m:ctrlPr>
                        </m:sSupPr>
                        <m:e>
                          <m:d>
                            <m:dPr>
                              <m:ctrlPr>
                                <a:rPr lang="en-US" sz="1200" b="0" i="1">
                                  <a:solidFill>
                                    <a:schemeClr val="tx1"/>
                                  </a:solidFill>
                                  <a:effectLst/>
                                  <a:latin typeface="Cambria Math" panose="02040503050406030204" pitchFamily="18" charset="0"/>
                                  <a:ea typeface="Cambria Math" panose="02040503050406030204" pitchFamily="18" charset="0"/>
                                  <a:cs typeface="+mn-cs"/>
                                </a:rPr>
                              </m:ctrlPr>
                            </m:dPr>
                            <m:e>
                              <m:r>
                                <a:rPr lang="en-US" sz="1200" b="0" i="1">
                                  <a:solidFill>
                                    <a:schemeClr val="tx1"/>
                                  </a:solidFill>
                                  <a:effectLst/>
                                  <a:latin typeface="Cambria Math" panose="02040503050406030204" pitchFamily="18" charset="0"/>
                                  <a:ea typeface="Cambria Math" panose="02040503050406030204" pitchFamily="18" charset="0"/>
                                  <a:cs typeface="+mn-cs"/>
                                </a:rPr>
                                <m:t>1+</m:t>
                              </m:r>
                              <m:r>
                                <a:rPr lang="en-US" sz="1200" b="0" i="1">
                                  <a:solidFill>
                                    <a:schemeClr val="tx1"/>
                                  </a:solidFill>
                                  <a:effectLst/>
                                  <a:latin typeface="Cambria Math" panose="02040503050406030204" pitchFamily="18" charset="0"/>
                                  <a:ea typeface="Cambria Math" panose="02040503050406030204" pitchFamily="18" charset="0"/>
                                  <a:cs typeface="+mn-cs"/>
                                </a:rPr>
                                <m:t>𝐼𝑅𝑅</m:t>
                              </m:r>
                            </m:e>
                          </m:d>
                        </m:e>
                        <m:sup>
                          <m:f>
                            <m:fPr>
                              <m:ctrlPr>
                                <a:rPr lang="en-US" sz="1100" b="0" i="1">
                                  <a:solidFill>
                                    <a:schemeClr val="tx1"/>
                                  </a:solidFill>
                                  <a:effectLst/>
                                  <a:latin typeface="Cambria Math" panose="02040503050406030204" pitchFamily="18" charset="0"/>
                                  <a:ea typeface="+mn-ea"/>
                                  <a:cs typeface="+mn-cs"/>
                                </a:rPr>
                              </m:ctrlPr>
                            </m:fPr>
                            <m:num>
                              <m:sSub>
                                <m:sSubPr>
                                  <m:ctrlPr>
                                    <a:rPr lang="en-US" sz="1100" b="0" i="1">
                                      <a:solidFill>
                                        <a:schemeClr val="tx1"/>
                                      </a:solidFill>
                                      <a:effectLst/>
                                      <a:latin typeface="Cambria Math" panose="02040503050406030204" pitchFamily="18" charset="0"/>
                                      <a:ea typeface="+mn-ea"/>
                                      <a:cs typeface="+mn-cs"/>
                                    </a:rPr>
                                  </m:ctrlPr>
                                </m:sSubPr>
                                <m:e>
                                  <m:r>
                                    <a:rPr lang="en-US" sz="1100" b="0" i="1">
                                      <a:solidFill>
                                        <a:schemeClr val="tx1"/>
                                      </a:solidFill>
                                      <a:effectLst/>
                                      <a:latin typeface="Cambria Math" panose="02040503050406030204" pitchFamily="18" charset="0"/>
                                      <a:ea typeface="+mn-ea"/>
                                      <a:cs typeface="+mn-cs"/>
                                    </a:rPr>
                                    <m:t>𝑡</m:t>
                                  </m:r>
                                </m:e>
                                <m:sub>
                                  <m:r>
                                    <a:rPr lang="en-US" sz="1100" b="0" i="1">
                                      <a:solidFill>
                                        <a:schemeClr val="tx1"/>
                                      </a:solidFill>
                                      <a:effectLst/>
                                      <a:latin typeface="Cambria Math" panose="02040503050406030204" pitchFamily="18" charset="0"/>
                                      <a:ea typeface="+mn-ea"/>
                                      <a:cs typeface="+mn-cs"/>
                                    </a:rPr>
                                    <m:t>𝑛</m:t>
                                  </m:r>
                                </m:sub>
                              </m:sSub>
                            </m:num>
                            <m:den>
                              <m:r>
                                <a:rPr lang="en-US" sz="1100" b="0" i="1">
                                  <a:solidFill>
                                    <a:schemeClr val="tx1"/>
                                  </a:solidFill>
                                  <a:effectLst/>
                                  <a:latin typeface="Cambria Math" panose="02040503050406030204" pitchFamily="18" charset="0"/>
                                  <a:ea typeface="+mn-ea"/>
                                  <a:cs typeface="+mn-cs"/>
                                </a:rPr>
                                <m:t>365</m:t>
                              </m:r>
                            </m:den>
                          </m:f>
                        </m:sup>
                      </m:sSup>
                    </m:den>
                  </m:f>
                </m:oMath>
              </a14:m>
              <a:endParaRPr lang="en-US" sz="1200">
                <a:latin typeface="Cambria Math" panose="02040503050406030204" pitchFamily="18" charset="0"/>
                <a:ea typeface="Cambria Math" panose="02040503050406030204" pitchFamily="18" charset="0"/>
                <a:cs typeface="Times New Roman" panose="02020603050405020304" pitchFamily="18" charset="0"/>
              </a:endParaRPr>
            </a:p>
          </xdr:txBody>
        </xdr:sp>
      </mc:Choice>
      <mc:Fallback xmlns="">
        <xdr:sp macro="" textlink="">
          <xdr:nvSpPr>
            <xdr:cNvPr id="2" name="TextBox 1">
              <a:extLst>
                <a:ext uri="{FF2B5EF4-FFF2-40B4-BE49-F238E27FC236}">
                  <a16:creationId xmlns:a16="http://schemas.microsoft.com/office/drawing/2014/main" id="{18ED53E9-2B75-4FDA-8E79-84074C47D4A7}"/>
                </a:ext>
              </a:extLst>
            </xdr:cNvPr>
            <xdr:cNvSpPr txBox="1"/>
          </xdr:nvSpPr>
          <xdr:spPr>
            <a:xfrm>
              <a:off x="3355943" y="1494312"/>
              <a:ext cx="5894737" cy="47164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r>
                <a:rPr lang="en-US" sz="1200" b="0" i="0">
                  <a:latin typeface="Cambria Math" panose="02040503050406030204" pitchFamily="18" charset="0"/>
                  <a:ea typeface="Cambria Math" panose="02040503050406030204" pitchFamily="18" charset="0"/>
                </a:rPr>
                <a:t>(20,000 −200)=19,800</a:t>
              </a:r>
              <a:r>
                <a:rPr lang="en-US" sz="1200" b="0" i="0">
                  <a:solidFill>
                    <a:schemeClr val="tx1"/>
                  </a:solidFill>
                  <a:effectLst/>
                  <a:latin typeface="Cambria Math" panose="02040503050406030204" pitchFamily="18" charset="0"/>
                  <a:ea typeface="Cambria Math" panose="02040503050406030204" pitchFamily="18" charset="0"/>
                  <a:cs typeface="+mn-cs"/>
                </a:rPr>
                <a:t> </a:t>
              </a:r>
              <a:r>
                <a:rPr lang="en-US" sz="1200" b="0" i="0">
                  <a:latin typeface="Cambria Math" panose="02040503050406030204" pitchFamily="18" charset="0"/>
                  <a:ea typeface="Cambria Math" panose="02040503050406030204" pitchFamily="18" charset="0"/>
                </a:rPr>
                <a:t>=861/(1+𝐼𝑅𝑅)^(𝑡_1/365) </a:t>
              </a:r>
              <a:r>
                <a:rPr lang="en-US" sz="1200">
                  <a:latin typeface="Cambria Math" panose="02040503050406030204" pitchFamily="18" charset="0"/>
                  <a:ea typeface="Cambria Math" panose="02040503050406030204" pitchFamily="18" charset="0"/>
                  <a:cs typeface="Times New Roman" panose="02020603050405020304" pitchFamily="18" charset="0"/>
                </a:rPr>
                <a:t>+ </a:t>
              </a:r>
              <a:r>
                <a:rPr lang="en-US" sz="1200" b="0" i="0">
                  <a:solidFill>
                    <a:schemeClr val="tx1"/>
                  </a:solidFill>
                  <a:effectLst/>
                  <a:latin typeface="Cambria Math" panose="02040503050406030204" pitchFamily="18" charset="0"/>
                  <a:ea typeface="Cambria Math" panose="02040503050406030204" pitchFamily="18" charset="0"/>
                  <a:cs typeface="+mn-cs"/>
                </a:rPr>
                <a:t>861/(1+𝐼𝑅𝑅)^(</a:t>
              </a:r>
              <a:r>
                <a:rPr lang="en-US" sz="1100" b="0" i="0">
                  <a:solidFill>
                    <a:schemeClr val="tx1"/>
                  </a:solidFill>
                  <a:effectLst/>
                  <a:latin typeface="Cambria Math" panose="02040503050406030204" pitchFamily="18" charset="0"/>
                  <a:ea typeface="+mn-ea"/>
                  <a:cs typeface="+mn-cs"/>
                </a:rPr>
                <a:t>𝑡</a:t>
              </a:r>
              <a:r>
                <a:rPr lang="en-US" sz="1100" b="0" i="0">
                  <a:solidFill>
                    <a:schemeClr val="tx1"/>
                  </a:solidFill>
                  <a:effectLst/>
                  <a:latin typeface="+mn-lt"/>
                  <a:ea typeface="+mn-ea"/>
                  <a:cs typeface="+mn-cs"/>
                </a:rPr>
                <a:t>_</a:t>
              </a:r>
              <a:r>
                <a:rPr lang="en-US" sz="1100" b="0" i="0">
                  <a:solidFill>
                    <a:schemeClr val="tx1"/>
                  </a:solidFill>
                  <a:effectLst/>
                  <a:latin typeface="Cambria Math" panose="02040503050406030204" pitchFamily="18" charset="0"/>
                  <a:ea typeface="+mn-ea"/>
                  <a:cs typeface="+mn-cs"/>
                </a:rPr>
                <a:t>2</a:t>
              </a:r>
              <a:r>
                <a:rPr lang="en-US" sz="1100" b="0" i="0">
                  <a:solidFill>
                    <a:schemeClr val="tx1"/>
                  </a:solidFill>
                  <a:effectLst/>
                  <a:latin typeface="+mn-lt"/>
                  <a:ea typeface="+mn-ea"/>
                  <a:cs typeface="+mn-cs"/>
                </a:rPr>
                <a:t>/365</a:t>
              </a:r>
              <a:r>
                <a:rPr lang="en-US" sz="1200" b="0" i="0">
                  <a:solidFill>
                    <a:schemeClr val="tx1"/>
                  </a:solidFill>
                  <a:effectLst/>
                  <a:latin typeface="Cambria Math" panose="02040503050406030204" pitchFamily="18" charset="0"/>
                  <a:ea typeface="Cambria Math" panose="02040503050406030204" pitchFamily="18" charset="0"/>
                  <a:cs typeface="+mn-cs"/>
                </a:rPr>
                <a:t>) +861/(1+𝐼𝑅𝑅)^(</a:t>
              </a:r>
              <a:r>
                <a:rPr lang="en-US" sz="1100" b="0" i="0">
                  <a:solidFill>
                    <a:schemeClr val="tx1"/>
                  </a:solidFill>
                  <a:effectLst/>
                  <a:latin typeface="+mn-lt"/>
                  <a:ea typeface="+mn-ea"/>
                  <a:cs typeface="+mn-cs"/>
                </a:rPr>
                <a:t>𝑡_</a:t>
              </a:r>
              <a:r>
                <a:rPr lang="en-US" sz="1100" b="0" i="0">
                  <a:solidFill>
                    <a:schemeClr val="tx1"/>
                  </a:solidFill>
                  <a:effectLst/>
                  <a:latin typeface="Cambria Math" panose="02040503050406030204" pitchFamily="18" charset="0"/>
                  <a:ea typeface="+mn-ea"/>
                  <a:cs typeface="+mn-cs"/>
                </a:rPr>
                <a:t>3</a:t>
              </a:r>
              <a:r>
                <a:rPr lang="en-US" sz="1200" b="0" i="0">
                  <a:solidFill>
                    <a:schemeClr val="tx1"/>
                  </a:solidFill>
                  <a:effectLst/>
                  <a:latin typeface="Cambria Math" panose="02040503050406030204" pitchFamily="18" charset="0"/>
                  <a:ea typeface="Cambria Math" panose="02040503050406030204" pitchFamily="18" charset="0"/>
                  <a:cs typeface="+mn-cs"/>
                </a:rPr>
                <a:t>/365) </a:t>
              </a:r>
              <a:r>
                <a:rPr lang="en-US" sz="1200">
                  <a:latin typeface="Cambria Math" panose="02040503050406030204" pitchFamily="18" charset="0"/>
                  <a:ea typeface="Cambria Math" panose="02040503050406030204" pitchFamily="18" charset="0"/>
                  <a:cs typeface="Times New Roman" panose="02020603050405020304" pitchFamily="18" charset="0"/>
                </a:rPr>
                <a:t>+ ..... + </a:t>
              </a:r>
              <a:r>
                <a:rPr lang="en-US" sz="1200" b="0" i="0">
                  <a:solidFill>
                    <a:schemeClr val="tx1"/>
                  </a:solidFill>
                  <a:effectLst/>
                  <a:latin typeface="Cambria Math" panose="02040503050406030204" pitchFamily="18" charset="0"/>
                  <a:ea typeface="Cambria Math" panose="02040503050406030204" pitchFamily="18" charset="0"/>
                  <a:cs typeface="+mn-cs"/>
                </a:rPr>
                <a:t>861/(1+𝐼𝑅𝑅)^(</a:t>
              </a:r>
              <a:r>
                <a:rPr lang="en-US" sz="1100" b="0" i="0">
                  <a:solidFill>
                    <a:schemeClr val="tx1"/>
                  </a:solidFill>
                  <a:effectLst/>
                  <a:latin typeface="+mn-lt"/>
                  <a:ea typeface="+mn-ea"/>
                  <a:cs typeface="+mn-cs"/>
                </a:rPr>
                <a:t>𝑡_</a:t>
              </a:r>
              <a:r>
                <a:rPr lang="en-US" sz="1100" b="0" i="0">
                  <a:solidFill>
                    <a:schemeClr val="tx1"/>
                  </a:solidFill>
                  <a:effectLst/>
                  <a:latin typeface="Cambria Math" panose="02040503050406030204" pitchFamily="18" charset="0"/>
                  <a:ea typeface="+mn-ea"/>
                  <a:cs typeface="+mn-cs"/>
                </a:rPr>
                <a:t>𝑛</a:t>
              </a:r>
              <a:r>
                <a:rPr lang="en-US" sz="1100" b="0" i="0">
                  <a:solidFill>
                    <a:schemeClr val="tx1"/>
                  </a:solidFill>
                  <a:effectLst/>
                  <a:latin typeface="+mn-lt"/>
                  <a:ea typeface="+mn-ea"/>
                  <a:cs typeface="+mn-cs"/>
                </a:rPr>
                <a:t>/365</a:t>
              </a:r>
              <a:r>
                <a:rPr lang="en-US" sz="1200" b="0" i="0">
                  <a:solidFill>
                    <a:schemeClr val="tx1"/>
                  </a:solidFill>
                  <a:effectLst/>
                  <a:latin typeface="Cambria Math" panose="02040503050406030204" pitchFamily="18" charset="0"/>
                  <a:ea typeface="Cambria Math" panose="02040503050406030204" pitchFamily="18" charset="0"/>
                  <a:cs typeface="+mn-cs"/>
                </a:rPr>
                <a:t>) </a:t>
              </a:r>
              <a:endParaRPr lang="en-US" sz="1200">
                <a:latin typeface="Cambria Math" panose="02040503050406030204" pitchFamily="18" charset="0"/>
                <a:ea typeface="Cambria Math" panose="02040503050406030204" pitchFamily="18" charset="0"/>
                <a:cs typeface="Times New Roman" panose="02020603050405020304" pitchFamily="18" charset="0"/>
              </a:endParaRPr>
            </a:p>
          </xdr:txBody>
        </xdr:sp>
      </mc:Fallback>
    </mc:AlternateContent>
    <xdr:clientData/>
  </xdr:oneCellAnchor>
  <xdr:oneCellAnchor>
    <xdr:from>
      <xdr:col>4</xdr:col>
      <xdr:colOff>71723</xdr:colOff>
      <xdr:row>12</xdr:row>
      <xdr:rowOff>130333</xdr:rowOff>
    </xdr:from>
    <xdr:ext cx="5742337" cy="350160"/>
    <mc:AlternateContent xmlns:mc="http://schemas.openxmlformats.org/markup-compatibility/2006" xmlns:a14="http://schemas.microsoft.com/office/drawing/2010/main">
      <mc:Choice Requires="a14">
        <xdr:sp macro="" textlink="">
          <xdr:nvSpPr>
            <xdr:cNvPr id="3" name="TextBox 2">
              <a:extLst>
                <a:ext uri="{FF2B5EF4-FFF2-40B4-BE49-F238E27FC236}">
                  <a16:creationId xmlns:a16="http://schemas.microsoft.com/office/drawing/2014/main" id="{F9BC166B-4970-456F-B5C2-8B7DCD04D488}"/>
                </a:ext>
              </a:extLst>
            </xdr:cNvPr>
            <xdr:cNvSpPr txBox="1"/>
          </xdr:nvSpPr>
          <xdr:spPr>
            <a:xfrm>
              <a:off x="3203543" y="4153693"/>
              <a:ext cx="5742337" cy="3501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14:m>
                <m:oMath xmlns:m="http://schemas.openxmlformats.org/officeDocument/2006/math">
                  <m:d>
                    <m:dPr>
                      <m:ctrlPr>
                        <a:rPr lang="en-US" sz="1200" b="0" i="1">
                          <a:latin typeface="Cambria Math" panose="02040503050406030204" pitchFamily="18" charset="0"/>
                          <a:ea typeface="Cambria Math" panose="02040503050406030204" pitchFamily="18" charset="0"/>
                        </a:rPr>
                      </m:ctrlPr>
                    </m:dPr>
                    <m:e>
                      <m:r>
                        <a:rPr lang="en-US" sz="1200" b="0" i="1">
                          <a:latin typeface="Cambria Math" panose="02040503050406030204" pitchFamily="18" charset="0"/>
                          <a:ea typeface="Cambria Math" panose="02040503050406030204" pitchFamily="18" charset="0"/>
                        </a:rPr>
                        <m:t>300,000 −3,000</m:t>
                      </m:r>
                    </m:e>
                  </m:d>
                  <m:r>
                    <a:rPr lang="en-US" sz="1200" b="0" i="1">
                      <a:latin typeface="Cambria Math" panose="02040503050406030204" pitchFamily="18" charset="0"/>
                      <a:ea typeface="Cambria Math" panose="02040503050406030204" pitchFamily="18" charset="0"/>
                    </a:rPr>
                    <m:t>=297</m:t>
                  </m:r>
                  <m:r>
                    <a:rPr lang="en-US" sz="1200" b="0" i="1">
                      <a:solidFill>
                        <a:schemeClr val="tx1"/>
                      </a:solidFill>
                      <a:effectLst/>
                      <a:latin typeface="Cambria Math" panose="02040503050406030204" pitchFamily="18" charset="0"/>
                      <a:ea typeface="Cambria Math" panose="02040503050406030204" pitchFamily="18" charset="0"/>
                      <a:cs typeface="+mn-cs"/>
                    </a:rPr>
                    <m:t>,000 =</m:t>
                  </m:r>
                  <m:f>
                    <m:fPr>
                      <m:ctrlPr>
                        <a:rPr lang="en-US" sz="1200" b="0" i="1">
                          <a:latin typeface="Cambria Math" panose="02040503050406030204" pitchFamily="18" charset="0"/>
                          <a:ea typeface="Cambria Math" panose="02040503050406030204" pitchFamily="18" charset="0"/>
                        </a:rPr>
                      </m:ctrlPr>
                    </m:fPr>
                    <m:num>
                      <m:r>
                        <a:rPr lang="en-US" sz="1200" b="0" i="1">
                          <a:latin typeface="Cambria Math" panose="02040503050406030204" pitchFamily="18" charset="0"/>
                          <a:ea typeface="Cambria Math" panose="02040503050406030204" pitchFamily="18" charset="0"/>
                        </a:rPr>
                        <m:t>6241</m:t>
                      </m:r>
                    </m:num>
                    <m:den>
                      <m:sSup>
                        <m:sSupPr>
                          <m:ctrlPr>
                            <a:rPr lang="en-US" sz="1200" b="0" i="1">
                              <a:latin typeface="Cambria Math" panose="02040503050406030204" pitchFamily="18" charset="0"/>
                              <a:ea typeface="Cambria Math" panose="02040503050406030204" pitchFamily="18" charset="0"/>
                            </a:rPr>
                          </m:ctrlPr>
                        </m:sSupPr>
                        <m:e>
                          <m:d>
                            <m:dPr>
                              <m:ctrlPr>
                                <a:rPr lang="en-US" sz="1200" b="0" i="1">
                                  <a:latin typeface="Cambria Math" panose="02040503050406030204" pitchFamily="18" charset="0"/>
                                  <a:ea typeface="Cambria Math" panose="02040503050406030204" pitchFamily="18" charset="0"/>
                                </a:rPr>
                              </m:ctrlPr>
                            </m:dPr>
                            <m:e>
                              <m:r>
                                <a:rPr lang="en-US" sz="1200" b="0" i="1">
                                  <a:latin typeface="Cambria Math" panose="02040503050406030204" pitchFamily="18" charset="0"/>
                                  <a:ea typeface="Cambria Math" panose="02040503050406030204" pitchFamily="18" charset="0"/>
                                </a:rPr>
                                <m:t>1+</m:t>
                              </m:r>
                              <m:r>
                                <a:rPr lang="en-US" sz="1200" b="0" i="1">
                                  <a:latin typeface="Cambria Math" panose="02040503050406030204" pitchFamily="18" charset="0"/>
                                  <a:ea typeface="Cambria Math" panose="02040503050406030204" pitchFamily="18" charset="0"/>
                                </a:rPr>
                                <m:t>𝐼𝑅𝑅</m:t>
                              </m:r>
                            </m:e>
                          </m:d>
                        </m:e>
                        <m:sup>
                          <m:f>
                            <m:fPr>
                              <m:ctrlPr>
                                <a:rPr lang="en-US" sz="1100" b="0" i="1">
                                  <a:solidFill>
                                    <a:schemeClr val="tx1"/>
                                  </a:solidFill>
                                  <a:effectLst/>
                                  <a:latin typeface="Cambria Math" panose="02040503050406030204" pitchFamily="18" charset="0"/>
                                  <a:ea typeface="+mn-ea"/>
                                  <a:cs typeface="+mn-cs"/>
                                </a:rPr>
                              </m:ctrlPr>
                            </m:fPr>
                            <m:num>
                              <m:sSub>
                                <m:sSubPr>
                                  <m:ctrlPr>
                                    <a:rPr lang="en-US" sz="1100" b="0" i="1">
                                      <a:solidFill>
                                        <a:schemeClr val="tx1"/>
                                      </a:solidFill>
                                      <a:effectLst/>
                                      <a:latin typeface="Cambria Math" panose="02040503050406030204" pitchFamily="18" charset="0"/>
                                      <a:ea typeface="+mn-ea"/>
                                      <a:cs typeface="+mn-cs"/>
                                    </a:rPr>
                                  </m:ctrlPr>
                                </m:sSubPr>
                                <m:e>
                                  <m:r>
                                    <a:rPr lang="en-US" sz="1100" b="0" i="1">
                                      <a:solidFill>
                                        <a:schemeClr val="tx1"/>
                                      </a:solidFill>
                                      <a:effectLst/>
                                      <a:latin typeface="Cambria Math" panose="02040503050406030204" pitchFamily="18" charset="0"/>
                                      <a:ea typeface="+mn-ea"/>
                                      <a:cs typeface="+mn-cs"/>
                                    </a:rPr>
                                    <m:t>𝑡</m:t>
                                  </m:r>
                                </m:e>
                                <m:sub>
                                  <m:r>
                                    <a:rPr lang="en-US" sz="1100" b="0" i="1">
                                      <a:solidFill>
                                        <a:schemeClr val="tx1"/>
                                      </a:solidFill>
                                      <a:effectLst/>
                                      <a:latin typeface="Cambria Math" panose="02040503050406030204" pitchFamily="18" charset="0"/>
                                      <a:ea typeface="+mn-ea"/>
                                      <a:cs typeface="+mn-cs"/>
                                    </a:rPr>
                                    <m:t>1</m:t>
                                  </m:r>
                                </m:sub>
                              </m:sSub>
                            </m:num>
                            <m:den>
                              <m:r>
                                <a:rPr lang="en-US" sz="1100" b="0" i="1">
                                  <a:solidFill>
                                    <a:schemeClr val="tx1"/>
                                  </a:solidFill>
                                  <a:effectLst/>
                                  <a:latin typeface="Cambria Math" panose="02040503050406030204" pitchFamily="18" charset="0"/>
                                  <a:ea typeface="+mn-ea"/>
                                  <a:cs typeface="+mn-cs"/>
                                </a:rPr>
                                <m:t>365</m:t>
                              </m:r>
                            </m:den>
                          </m:f>
                        </m:sup>
                      </m:sSup>
                    </m:den>
                  </m:f>
                </m:oMath>
              </a14:m>
              <a:r>
                <a:rPr lang="en-US" sz="1200">
                  <a:latin typeface="Cambria Math" panose="02040503050406030204" pitchFamily="18" charset="0"/>
                  <a:ea typeface="Cambria Math" panose="02040503050406030204" pitchFamily="18" charset="0"/>
                  <a:cs typeface="Times New Roman" panose="02020603050405020304" pitchFamily="18" charset="0"/>
                </a:rPr>
                <a:t>+ </a:t>
              </a:r>
              <a14:m>
                <m:oMath xmlns:m="http://schemas.openxmlformats.org/officeDocument/2006/math">
                  <m:f>
                    <m:fPr>
                      <m:ctrlPr>
                        <a:rPr lang="en-US" sz="1200" b="0" i="1">
                          <a:solidFill>
                            <a:schemeClr val="tx1"/>
                          </a:solidFill>
                          <a:effectLst/>
                          <a:latin typeface="Cambria Math" panose="02040503050406030204" pitchFamily="18" charset="0"/>
                          <a:ea typeface="Cambria Math" panose="02040503050406030204" pitchFamily="18" charset="0"/>
                          <a:cs typeface="+mn-cs"/>
                        </a:rPr>
                      </m:ctrlPr>
                    </m:fPr>
                    <m:num>
                      <m:r>
                        <a:rPr lang="en-US" sz="1100" b="0" i="1">
                          <a:solidFill>
                            <a:schemeClr val="tx1"/>
                          </a:solidFill>
                          <a:effectLst/>
                          <a:latin typeface="Cambria Math" panose="02040503050406030204" pitchFamily="18" charset="0"/>
                          <a:ea typeface="+mn-ea"/>
                          <a:cs typeface="+mn-cs"/>
                        </a:rPr>
                        <m:t>6241</m:t>
                      </m:r>
                    </m:num>
                    <m:den>
                      <m:sSup>
                        <m:sSupPr>
                          <m:ctrlPr>
                            <a:rPr lang="en-US" sz="1200" b="0" i="1">
                              <a:solidFill>
                                <a:schemeClr val="tx1"/>
                              </a:solidFill>
                              <a:effectLst/>
                              <a:latin typeface="Cambria Math" panose="02040503050406030204" pitchFamily="18" charset="0"/>
                              <a:ea typeface="Cambria Math" panose="02040503050406030204" pitchFamily="18" charset="0"/>
                              <a:cs typeface="+mn-cs"/>
                            </a:rPr>
                          </m:ctrlPr>
                        </m:sSupPr>
                        <m:e>
                          <m:d>
                            <m:dPr>
                              <m:ctrlPr>
                                <a:rPr lang="en-US" sz="1200" b="0" i="1">
                                  <a:solidFill>
                                    <a:schemeClr val="tx1"/>
                                  </a:solidFill>
                                  <a:effectLst/>
                                  <a:latin typeface="Cambria Math" panose="02040503050406030204" pitchFamily="18" charset="0"/>
                                  <a:ea typeface="Cambria Math" panose="02040503050406030204" pitchFamily="18" charset="0"/>
                                  <a:cs typeface="+mn-cs"/>
                                </a:rPr>
                              </m:ctrlPr>
                            </m:dPr>
                            <m:e>
                              <m:r>
                                <a:rPr lang="en-US" sz="1200" b="0" i="1">
                                  <a:solidFill>
                                    <a:schemeClr val="tx1"/>
                                  </a:solidFill>
                                  <a:effectLst/>
                                  <a:latin typeface="Cambria Math" panose="02040503050406030204" pitchFamily="18" charset="0"/>
                                  <a:ea typeface="Cambria Math" panose="02040503050406030204" pitchFamily="18" charset="0"/>
                                  <a:cs typeface="+mn-cs"/>
                                </a:rPr>
                                <m:t>1+</m:t>
                              </m:r>
                              <m:r>
                                <a:rPr lang="en-US" sz="1200" b="0" i="1">
                                  <a:solidFill>
                                    <a:schemeClr val="tx1"/>
                                  </a:solidFill>
                                  <a:effectLst/>
                                  <a:latin typeface="Cambria Math" panose="02040503050406030204" pitchFamily="18" charset="0"/>
                                  <a:ea typeface="Cambria Math" panose="02040503050406030204" pitchFamily="18" charset="0"/>
                                  <a:cs typeface="+mn-cs"/>
                                </a:rPr>
                                <m:t>𝐼𝑅𝑅</m:t>
                              </m:r>
                            </m:e>
                          </m:d>
                        </m:e>
                        <m:sup>
                          <m:f>
                            <m:fPr>
                              <m:ctrlPr>
                                <a:rPr lang="en-US" sz="1100" b="0" i="1">
                                  <a:solidFill>
                                    <a:schemeClr val="tx1"/>
                                  </a:solidFill>
                                  <a:effectLst/>
                                  <a:latin typeface="Cambria Math" panose="02040503050406030204" pitchFamily="18" charset="0"/>
                                  <a:ea typeface="+mn-ea"/>
                                  <a:cs typeface="+mn-cs"/>
                                </a:rPr>
                              </m:ctrlPr>
                            </m:fPr>
                            <m:num>
                              <m:sSub>
                                <m:sSubPr>
                                  <m:ctrlPr>
                                    <a:rPr lang="en-US" sz="1100" b="0" i="1">
                                      <a:solidFill>
                                        <a:schemeClr val="tx1"/>
                                      </a:solidFill>
                                      <a:effectLst/>
                                      <a:latin typeface="Cambria Math" panose="02040503050406030204" pitchFamily="18" charset="0"/>
                                      <a:ea typeface="+mn-ea"/>
                                      <a:cs typeface="+mn-cs"/>
                                    </a:rPr>
                                  </m:ctrlPr>
                                </m:sSubPr>
                                <m:e>
                                  <m:r>
                                    <a:rPr lang="en-US" sz="1100" b="0" i="1">
                                      <a:solidFill>
                                        <a:schemeClr val="tx1"/>
                                      </a:solidFill>
                                      <a:effectLst/>
                                      <a:latin typeface="Cambria Math" panose="02040503050406030204" pitchFamily="18" charset="0"/>
                                      <a:ea typeface="+mn-ea"/>
                                      <a:cs typeface="+mn-cs"/>
                                    </a:rPr>
                                    <m:t>𝑡</m:t>
                                  </m:r>
                                </m:e>
                                <m:sub>
                                  <m:r>
                                    <a:rPr lang="en-US" sz="1100" b="0" i="1">
                                      <a:solidFill>
                                        <a:schemeClr val="tx1"/>
                                      </a:solidFill>
                                      <a:effectLst/>
                                      <a:latin typeface="Cambria Math" panose="02040503050406030204" pitchFamily="18" charset="0"/>
                                      <a:ea typeface="+mn-ea"/>
                                      <a:cs typeface="+mn-cs"/>
                                    </a:rPr>
                                    <m:t>2</m:t>
                                  </m:r>
                                </m:sub>
                              </m:sSub>
                            </m:num>
                            <m:den>
                              <m:r>
                                <a:rPr lang="en-US" sz="1100" b="0" i="1">
                                  <a:solidFill>
                                    <a:schemeClr val="tx1"/>
                                  </a:solidFill>
                                  <a:effectLst/>
                                  <a:latin typeface="Cambria Math" panose="02040503050406030204" pitchFamily="18" charset="0"/>
                                  <a:ea typeface="+mn-ea"/>
                                  <a:cs typeface="+mn-cs"/>
                                </a:rPr>
                                <m:t>365</m:t>
                              </m:r>
                            </m:den>
                          </m:f>
                        </m:sup>
                      </m:sSup>
                    </m:den>
                  </m:f>
                  <m:r>
                    <a:rPr lang="en-US" sz="1200" b="0" i="1">
                      <a:solidFill>
                        <a:schemeClr val="tx1"/>
                      </a:solidFill>
                      <a:effectLst/>
                      <a:latin typeface="Cambria Math" panose="02040503050406030204" pitchFamily="18" charset="0"/>
                      <a:ea typeface="Cambria Math" panose="02040503050406030204" pitchFamily="18" charset="0"/>
                      <a:cs typeface="+mn-cs"/>
                    </a:rPr>
                    <m:t>+</m:t>
                  </m:r>
                  <m:f>
                    <m:fPr>
                      <m:ctrlPr>
                        <a:rPr lang="en-US" sz="1200" b="0" i="1">
                          <a:solidFill>
                            <a:schemeClr val="tx1"/>
                          </a:solidFill>
                          <a:effectLst/>
                          <a:latin typeface="Cambria Math" panose="02040503050406030204" pitchFamily="18" charset="0"/>
                          <a:ea typeface="Cambria Math" panose="02040503050406030204" pitchFamily="18" charset="0"/>
                          <a:cs typeface="+mn-cs"/>
                        </a:rPr>
                      </m:ctrlPr>
                    </m:fPr>
                    <m:num>
                      <m:r>
                        <a:rPr lang="en-US" sz="1100" b="0" i="1">
                          <a:solidFill>
                            <a:schemeClr val="tx1"/>
                          </a:solidFill>
                          <a:effectLst/>
                          <a:latin typeface="Cambria Math" panose="02040503050406030204" pitchFamily="18" charset="0"/>
                          <a:ea typeface="+mn-ea"/>
                          <a:cs typeface="+mn-cs"/>
                        </a:rPr>
                        <m:t>6241</m:t>
                      </m:r>
                    </m:num>
                    <m:den>
                      <m:sSup>
                        <m:sSupPr>
                          <m:ctrlPr>
                            <a:rPr lang="en-US" sz="1200" b="0" i="1">
                              <a:solidFill>
                                <a:schemeClr val="tx1"/>
                              </a:solidFill>
                              <a:effectLst/>
                              <a:latin typeface="Cambria Math" panose="02040503050406030204" pitchFamily="18" charset="0"/>
                              <a:ea typeface="Cambria Math" panose="02040503050406030204" pitchFamily="18" charset="0"/>
                              <a:cs typeface="+mn-cs"/>
                            </a:rPr>
                          </m:ctrlPr>
                        </m:sSupPr>
                        <m:e>
                          <m:d>
                            <m:dPr>
                              <m:ctrlPr>
                                <a:rPr lang="en-US" sz="1200" b="0" i="1">
                                  <a:solidFill>
                                    <a:schemeClr val="tx1"/>
                                  </a:solidFill>
                                  <a:effectLst/>
                                  <a:latin typeface="Cambria Math" panose="02040503050406030204" pitchFamily="18" charset="0"/>
                                  <a:ea typeface="Cambria Math" panose="02040503050406030204" pitchFamily="18" charset="0"/>
                                  <a:cs typeface="+mn-cs"/>
                                </a:rPr>
                              </m:ctrlPr>
                            </m:dPr>
                            <m:e>
                              <m:r>
                                <a:rPr lang="en-US" sz="1200" b="0" i="1">
                                  <a:solidFill>
                                    <a:schemeClr val="tx1"/>
                                  </a:solidFill>
                                  <a:effectLst/>
                                  <a:latin typeface="Cambria Math" panose="02040503050406030204" pitchFamily="18" charset="0"/>
                                  <a:ea typeface="Cambria Math" panose="02040503050406030204" pitchFamily="18" charset="0"/>
                                  <a:cs typeface="+mn-cs"/>
                                </a:rPr>
                                <m:t>1+</m:t>
                              </m:r>
                              <m:r>
                                <a:rPr lang="en-US" sz="1200" b="0" i="1">
                                  <a:solidFill>
                                    <a:schemeClr val="tx1"/>
                                  </a:solidFill>
                                  <a:effectLst/>
                                  <a:latin typeface="Cambria Math" panose="02040503050406030204" pitchFamily="18" charset="0"/>
                                  <a:ea typeface="Cambria Math" panose="02040503050406030204" pitchFamily="18" charset="0"/>
                                  <a:cs typeface="+mn-cs"/>
                                </a:rPr>
                                <m:t>𝐼𝑅𝑅</m:t>
                              </m:r>
                            </m:e>
                          </m:d>
                        </m:e>
                        <m:sup>
                          <m:f>
                            <m:fPr>
                              <m:ctrlPr>
                                <a:rPr lang="en-US" sz="1100" b="0" i="1">
                                  <a:solidFill>
                                    <a:schemeClr val="tx1"/>
                                  </a:solidFill>
                                  <a:effectLst/>
                                  <a:latin typeface="Cambria Math" panose="02040503050406030204" pitchFamily="18" charset="0"/>
                                  <a:ea typeface="+mn-ea"/>
                                  <a:cs typeface="+mn-cs"/>
                                </a:rPr>
                              </m:ctrlPr>
                            </m:fPr>
                            <m:num>
                              <m:sSub>
                                <m:sSubPr>
                                  <m:ctrlPr>
                                    <a:rPr lang="en-US" sz="1100" b="0" i="1">
                                      <a:solidFill>
                                        <a:schemeClr val="tx1"/>
                                      </a:solidFill>
                                      <a:effectLst/>
                                      <a:latin typeface="Cambria Math" panose="02040503050406030204" pitchFamily="18" charset="0"/>
                                      <a:ea typeface="+mn-ea"/>
                                      <a:cs typeface="+mn-cs"/>
                                    </a:rPr>
                                  </m:ctrlPr>
                                </m:sSubPr>
                                <m:e>
                                  <m:r>
                                    <a:rPr lang="en-US" sz="1100" b="0" i="1">
                                      <a:solidFill>
                                        <a:schemeClr val="tx1"/>
                                      </a:solidFill>
                                      <a:effectLst/>
                                      <a:latin typeface="Cambria Math" panose="02040503050406030204" pitchFamily="18" charset="0"/>
                                      <a:ea typeface="+mn-ea"/>
                                      <a:cs typeface="+mn-cs"/>
                                    </a:rPr>
                                    <m:t>𝑡</m:t>
                                  </m:r>
                                </m:e>
                                <m:sub>
                                  <m:r>
                                    <a:rPr lang="en-US" sz="1100" b="0" i="1">
                                      <a:solidFill>
                                        <a:schemeClr val="tx1"/>
                                      </a:solidFill>
                                      <a:effectLst/>
                                      <a:latin typeface="Cambria Math" panose="02040503050406030204" pitchFamily="18" charset="0"/>
                                      <a:ea typeface="+mn-ea"/>
                                      <a:cs typeface="+mn-cs"/>
                                    </a:rPr>
                                    <m:t>3</m:t>
                                  </m:r>
                                </m:sub>
                              </m:sSub>
                            </m:num>
                            <m:den>
                              <m:r>
                                <a:rPr lang="en-US" sz="1100" b="0" i="1">
                                  <a:solidFill>
                                    <a:schemeClr val="tx1"/>
                                  </a:solidFill>
                                  <a:effectLst/>
                                  <a:latin typeface="Cambria Math" panose="02040503050406030204" pitchFamily="18" charset="0"/>
                                  <a:ea typeface="+mn-ea"/>
                                  <a:cs typeface="+mn-cs"/>
                                </a:rPr>
                                <m:t>365</m:t>
                              </m:r>
                            </m:den>
                          </m:f>
                        </m:sup>
                      </m:sSup>
                    </m:den>
                  </m:f>
                </m:oMath>
              </a14:m>
              <a:r>
                <a:rPr lang="en-US" sz="1200">
                  <a:latin typeface="Cambria Math" panose="02040503050406030204" pitchFamily="18" charset="0"/>
                  <a:ea typeface="Cambria Math" panose="02040503050406030204" pitchFamily="18" charset="0"/>
                  <a:cs typeface="Times New Roman" panose="02020603050405020304" pitchFamily="18" charset="0"/>
                </a:rPr>
                <a:t>+ ..... + </a:t>
              </a:r>
              <a14:m>
                <m:oMath xmlns:m="http://schemas.openxmlformats.org/officeDocument/2006/math">
                  <m:f>
                    <m:fPr>
                      <m:ctrlPr>
                        <a:rPr lang="en-US" sz="1200" b="0" i="1">
                          <a:solidFill>
                            <a:schemeClr val="tx1"/>
                          </a:solidFill>
                          <a:effectLst/>
                          <a:latin typeface="Cambria Math" panose="02040503050406030204" pitchFamily="18" charset="0"/>
                          <a:ea typeface="Cambria Math" panose="02040503050406030204" pitchFamily="18" charset="0"/>
                          <a:cs typeface="+mn-cs"/>
                        </a:rPr>
                      </m:ctrlPr>
                    </m:fPr>
                    <m:num>
                      <m:r>
                        <a:rPr lang="en-US" sz="1100" b="0" i="1">
                          <a:solidFill>
                            <a:schemeClr val="tx1"/>
                          </a:solidFill>
                          <a:effectLst/>
                          <a:latin typeface="Cambria Math" panose="02040503050406030204" pitchFamily="18" charset="0"/>
                          <a:ea typeface="+mn-ea"/>
                          <a:cs typeface="+mn-cs"/>
                        </a:rPr>
                        <m:t>6241</m:t>
                      </m:r>
                    </m:num>
                    <m:den>
                      <m:sSup>
                        <m:sSupPr>
                          <m:ctrlPr>
                            <a:rPr lang="en-US" sz="1200" b="0" i="1">
                              <a:solidFill>
                                <a:schemeClr val="tx1"/>
                              </a:solidFill>
                              <a:effectLst/>
                              <a:latin typeface="Cambria Math" panose="02040503050406030204" pitchFamily="18" charset="0"/>
                              <a:ea typeface="Cambria Math" panose="02040503050406030204" pitchFamily="18" charset="0"/>
                              <a:cs typeface="+mn-cs"/>
                            </a:rPr>
                          </m:ctrlPr>
                        </m:sSupPr>
                        <m:e>
                          <m:d>
                            <m:dPr>
                              <m:ctrlPr>
                                <a:rPr lang="en-US" sz="1200" b="0" i="1">
                                  <a:solidFill>
                                    <a:schemeClr val="tx1"/>
                                  </a:solidFill>
                                  <a:effectLst/>
                                  <a:latin typeface="Cambria Math" panose="02040503050406030204" pitchFamily="18" charset="0"/>
                                  <a:ea typeface="Cambria Math" panose="02040503050406030204" pitchFamily="18" charset="0"/>
                                  <a:cs typeface="+mn-cs"/>
                                </a:rPr>
                              </m:ctrlPr>
                            </m:dPr>
                            <m:e>
                              <m:r>
                                <a:rPr lang="en-US" sz="1200" b="0" i="1">
                                  <a:solidFill>
                                    <a:schemeClr val="tx1"/>
                                  </a:solidFill>
                                  <a:effectLst/>
                                  <a:latin typeface="Cambria Math" panose="02040503050406030204" pitchFamily="18" charset="0"/>
                                  <a:ea typeface="Cambria Math" panose="02040503050406030204" pitchFamily="18" charset="0"/>
                                  <a:cs typeface="+mn-cs"/>
                                </a:rPr>
                                <m:t>1+</m:t>
                              </m:r>
                              <m:r>
                                <a:rPr lang="en-US" sz="1200" b="0" i="1">
                                  <a:solidFill>
                                    <a:schemeClr val="tx1"/>
                                  </a:solidFill>
                                  <a:effectLst/>
                                  <a:latin typeface="Cambria Math" panose="02040503050406030204" pitchFamily="18" charset="0"/>
                                  <a:ea typeface="Cambria Math" panose="02040503050406030204" pitchFamily="18" charset="0"/>
                                  <a:cs typeface="+mn-cs"/>
                                </a:rPr>
                                <m:t>𝐼𝑅𝑅</m:t>
                              </m:r>
                            </m:e>
                          </m:d>
                        </m:e>
                        <m:sup>
                          <m:f>
                            <m:fPr>
                              <m:ctrlPr>
                                <a:rPr lang="en-US" sz="1100" b="0" i="1">
                                  <a:solidFill>
                                    <a:schemeClr val="tx1"/>
                                  </a:solidFill>
                                  <a:effectLst/>
                                  <a:latin typeface="Cambria Math" panose="02040503050406030204" pitchFamily="18" charset="0"/>
                                  <a:ea typeface="+mn-ea"/>
                                  <a:cs typeface="+mn-cs"/>
                                </a:rPr>
                              </m:ctrlPr>
                            </m:fPr>
                            <m:num>
                              <m:sSub>
                                <m:sSubPr>
                                  <m:ctrlPr>
                                    <a:rPr lang="en-US" sz="1100" b="0" i="1">
                                      <a:solidFill>
                                        <a:schemeClr val="tx1"/>
                                      </a:solidFill>
                                      <a:effectLst/>
                                      <a:latin typeface="Cambria Math" panose="02040503050406030204" pitchFamily="18" charset="0"/>
                                      <a:ea typeface="+mn-ea"/>
                                      <a:cs typeface="+mn-cs"/>
                                    </a:rPr>
                                  </m:ctrlPr>
                                </m:sSubPr>
                                <m:e>
                                  <m:r>
                                    <a:rPr lang="en-US" sz="1100" b="0" i="1">
                                      <a:solidFill>
                                        <a:schemeClr val="tx1"/>
                                      </a:solidFill>
                                      <a:effectLst/>
                                      <a:latin typeface="Cambria Math" panose="02040503050406030204" pitchFamily="18" charset="0"/>
                                      <a:ea typeface="+mn-ea"/>
                                      <a:cs typeface="+mn-cs"/>
                                    </a:rPr>
                                    <m:t>𝑡</m:t>
                                  </m:r>
                                </m:e>
                                <m:sub>
                                  <m:r>
                                    <a:rPr lang="en-US" sz="1100" b="0" i="1">
                                      <a:solidFill>
                                        <a:schemeClr val="tx1"/>
                                      </a:solidFill>
                                      <a:effectLst/>
                                      <a:latin typeface="Cambria Math" panose="02040503050406030204" pitchFamily="18" charset="0"/>
                                      <a:ea typeface="+mn-ea"/>
                                      <a:cs typeface="+mn-cs"/>
                                    </a:rPr>
                                    <m:t>𝑛</m:t>
                                  </m:r>
                                </m:sub>
                              </m:sSub>
                            </m:num>
                            <m:den>
                              <m:r>
                                <a:rPr lang="en-US" sz="1100" b="0" i="1">
                                  <a:solidFill>
                                    <a:schemeClr val="tx1"/>
                                  </a:solidFill>
                                  <a:effectLst/>
                                  <a:latin typeface="Cambria Math" panose="02040503050406030204" pitchFamily="18" charset="0"/>
                                  <a:ea typeface="+mn-ea"/>
                                  <a:cs typeface="+mn-cs"/>
                                </a:rPr>
                                <m:t>365</m:t>
                              </m:r>
                            </m:den>
                          </m:f>
                        </m:sup>
                      </m:sSup>
                    </m:den>
                  </m:f>
                </m:oMath>
              </a14:m>
              <a:endParaRPr lang="en-US" sz="1200">
                <a:latin typeface="Cambria Math" panose="02040503050406030204" pitchFamily="18" charset="0"/>
                <a:ea typeface="Cambria Math" panose="02040503050406030204" pitchFamily="18" charset="0"/>
                <a:cs typeface="Times New Roman" panose="02020603050405020304" pitchFamily="18" charset="0"/>
              </a:endParaRPr>
            </a:p>
          </xdr:txBody>
        </xdr:sp>
      </mc:Choice>
      <mc:Fallback xmlns="">
        <xdr:sp macro="" textlink="">
          <xdr:nvSpPr>
            <xdr:cNvPr id="3" name="TextBox 2">
              <a:extLst>
                <a:ext uri="{FF2B5EF4-FFF2-40B4-BE49-F238E27FC236}">
                  <a16:creationId xmlns:a16="http://schemas.microsoft.com/office/drawing/2014/main" id="{F9BC166B-4970-456F-B5C2-8B7DCD04D488}"/>
                </a:ext>
              </a:extLst>
            </xdr:cNvPr>
            <xdr:cNvSpPr txBox="1"/>
          </xdr:nvSpPr>
          <xdr:spPr>
            <a:xfrm>
              <a:off x="3203543" y="4153693"/>
              <a:ext cx="5742337" cy="3501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r>
                <a:rPr lang="en-US" sz="1200" b="0" i="0">
                  <a:latin typeface="Cambria Math" panose="02040503050406030204" pitchFamily="18" charset="0"/>
                  <a:ea typeface="Cambria Math" panose="02040503050406030204" pitchFamily="18" charset="0"/>
                </a:rPr>
                <a:t>(300,000 −3,000)=297</a:t>
              </a:r>
              <a:r>
                <a:rPr lang="en-US" sz="1200" b="0" i="0">
                  <a:solidFill>
                    <a:schemeClr val="tx1"/>
                  </a:solidFill>
                  <a:effectLst/>
                  <a:latin typeface="Cambria Math" panose="02040503050406030204" pitchFamily="18" charset="0"/>
                  <a:ea typeface="Cambria Math" panose="02040503050406030204" pitchFamily="18" charset="0"/>
                  <a:cs typeface="+mn-cs"/>
                </a:rPr>
                <a:t>,000 </a:t>
              </a:r>
              <a:r>
                <a:rPr lang="en-US" sz="1200" b="0" i="0">
                  <a:latin typeface="Cambria Math" panose="02040503050406030204" pitchFamily="18" charset="0"/>
                  <a:ea typeface="Cambria Math" panose="02040503050406030204" pitchFamily="18" charset="0"/>
                </a:rPr>
                <a:t>=6241/(1+𝐼𝑅𝑅)^(</a:t>
              </a:r>
              <a:r>
                <a:rPr lang="en-US" sz="1100" b="0" i="0">
                  <a:solidFill>
                    <a:schemeClr val="tx1"/>
                  </a:solidFill>
                  <a:effectLst/>
                  <a:latin typeface="+mn-lt"/>
                  <a:ea typeface="+mn-ea"/>
                  <a:cs typeface="+mn-cs"/>
                </a:rPr>
                <a:t>𝑡_1/365</a:t>
              </a:r>
              <a:r>
                <a:rPr lang="en-US" sz="1200" b="0" i="0">
                  <a:solidFill>
                    <a:schemeClr val="tx1"/>
                  </a:solidFill>
                  <a:effectLst/>
                  <a:latin typeface="Cambria Math" panose="02040503050406030204" pitchFamily="18" charset="0"/>
                  <a:ea typeface="Cambria Math" panose="02040503050406030204" pitchFamily="18" charset="0"/>
                  <a:cs typeface="+mn-cs"/>
                </a:rPr>
                <a:t>) </a:t>
              </a:r>
              <a:r>
                <a:rPr lang="en-US" sz="1200">
                  <a:latin typeface="Cambria Math" panose="02040503050406030204" pitchFamily="18" charset="0"/>
                  <a:ea typeface="Cambria Math" panose="02040503050406030204" pitchFamily="18" charset="0"/>
                  <a:cs typeface="Times New Roman" panose="02020603050405020304" pitchFamily="18" charset="0"/>
                </a:rPr>
                <a:t>+ </a:t>
              </a:r>
              <a:r>
                <a:rPr lang="en-US" sz="1100" b="0" i="0">
                  <a:solidFill>
                    <a:schemeClr val="tx1"/>
                  </a:solidFill>
                  <a:effectLst/>
                  <a:latin typeface="+mn-lt"/>
                  <a:ea typeface="+mn-ea"/>
                  <a:cs typeface="+mn-cs"/>
                </a:rPr>
                <a:t>6241</a:t>
              </a:r>
              <a:r>
                <a:rPr lang="en-US" sz="1200" b="0" i="0">
                  <a:solidFill>
                    <a:schemeClr val="tx1"/>
                  </a:solidFill>
                  <a:effectLst/>
                  <a:latin typeface="Cambria Math" panose="02040503050406030204" pitchFamily="18" charset="0"/>
                  <a:ea typeface="Cambria Math" panose="02040503050406030204" pitchFamily="18" charset="0"/>
                  <a:cs typeface="+mn-cs"/>
                </a:rPr>
                <a:t>/(1+𝐼𝑅𝑅)^(</a:t>
              </a:r>
              <a:r>
                <a:rPr lang="en-US" sz="1100" b="0" i="0">
                  <a:solidFill>
                    <a:schemeClr val="tx1"/>
                  </a:solidFill>
                  <a:effectLst/>
                  <a:latin typeface="+mn-lt"/>
                  <a:ea typeface="+mn-ea"/>
                  <a:cs typeface="+mn-cs"/>
                </a:rPr>
                <a:t>𝑡_</a:t>
              </a:r>
              <a:r>
                <a:rPr lang="en-US" sz="1100" b="0" i="0">
                  <a:solidFill>
                    <a:schemeClr val="tx1"/>
                  </a:solidFill>
                  <a:effectLst/>
                  <a:latin typeface="Cambria Math" panose="02040503050406030204" pitchFamily="18" charset="0"/>
                  <a:ea typeface="+mn-ea"/>
                  <a:cs typeface="+mn-cs"/>
                </a:rPr>
                <a:t>2</a:t>
              </a:r>
              <a:r>
                <a:rPr lang="en-US" sz="1100" b="0" i="0">
                  <a:solidFill>
                    <a:schemeClr val="tx1"/>
                  </a:solidFill>
                  <a:effectLst/>
                  <a:latin typeface="+mn-lt"/>
                  <a:ea typeface="+mn-ea"/>
                  <a:cs typeface="+mn-cs"/>
                </a:rPr>
                <a:t>/365</a:t>
              </a:r>
              <a:r>
                <a:rPr lang="en-US" sz="1200" b="0" i="0">
                  <a:solidFill>
                    <a:schemeClr val="tx1"/>
                  </a:solidFill>
                  <a:effectLst/>
                  <a:latin typeface="Cambria Math" panose="02040503050406030204" pitchFamily="18" charset="0"/>
                  <a:ea typeface="Cambria Math" panose="02040503050406030204" pitchFamily="18" charset="0"/>
                  <a:cs typeface="+mn-cs"/>
                </a:rPr>
                <a:t>) +</a:t>
              </a:r>
              <a:r>
                <a:rPr lang="en-US" sz="1100" b="0" i="0">
                  <a:solidFill>
                    <a:schemeClr val="tx1"/>
                  </a:solidFill>
                  <a:effectLst/>
                  <a:latin typeface="+mn-lt"/>
                  <a:ea typeface="+mn-ea"/>
                  <a:cs typeface="+mn-cs"/>
                </a:rPr>
                <a:t>6241</a:t>
              </a:r>
              <a:r>
                <a:rPr lang="en-US" sz="1200" b="0" i="0">
                  <a:solidFill>
                    <a:schemeClr val="tx1"/>
                  </a:solidFill>
                  <a:effectLst/>
                  <a:latin typeface="Cambria Math" panose="02040503050406030204" pitchFamily="18" charset="0"/>
                  <a:ea typeface="Cambria Math" panose="02040503050406030204" pitchFamily="18" charset="0"/>
                  <a:cs typeface="+mn-cs"/>
                </a:rPr>
                <a:t>/(1+𝐼𝑅𝑅)^(</a:t>
              </a:r>
              <a:r>
                <a:rPr lang="en-US" sz="1100" b="0" i="0">
                  <a:solidFill>
                    <a:schemeClr val="tx1"/>
                  </a:solidFill>
                  <a:effectLst/>
                  <a:latin typeface="+mn-lt"/>
                  <a:ea typeface="+mn-ea"/>
                  <a:cs typeface="+mn-cs"/>
                </a:rPr>
                <a:t>𝑡_</a:t>
              </a:r>
              <a:r>
                <a:rPr lang="en-US" sz="1100" b="0" i="0">
                  <a:solidFill>
                    <a:schemeClr val="tx1"/>
                  </a:solidFill>
                  <a:effectLst/>
                  <a:latin typeface="Cambria Math" panose="02040503050406030204" pitchFamily="18" charset="0"/>
                  <a:ea typeface="+mn-ea"/>
                  <a:cs typeface="+mn-cs"/>
                </a:rPr>
                <a:t>3</a:t>
              </a:r>
              <a:r>
                <a:rPr lang="en-US" sz="1100" b="0" i="0">
                  <a:solidFill>
                    <a:schemeClr val="tx1"/>
                  </a:solidFill>
                  <a:effectLst/>
                  <a:latin typeface="+mn-lt"/>
                  <a:ea typeface="+mn-ea"/>
                  <a:cs typeface="+mn-cs"/>
                </a:rPr>
                <a:t>/365</a:t>
              </a:r>
              <a:r>
                <a:rPr lang="en-US" sz="1200" b="0" i="0">
                  <a:solidFill>
                    <a:schemeClr val="tx1"/>
                  </a:solidFill>
                  <a:effectLst/>
                  <a:latin typeface="Cambria Math" panose="02040503050406030204" pitchFamily="18" charset="0"/>
                  <a:ea typeface="Cambria Math" panose="02040503050406030204" pitchFamily="18" charset="0"/>
                  <a:cs typeface="+mn-cs"/>
                </a:rPr>
                <a:t>) </a:t>
              </a:r>
              <a:r>
                <a:rPr lang="en-US" sz="1200">
                  <a:latin typeface="Cambria Math" panose="02040503050406030204" pitchFamily="18" charset="0"/>
                  <a:ea typeface="Cambria Math" panose="02040503050406030204" pitchFamily="18" charset="0"/>
                  <a:cs typeface="Times New Roman" panose="02020603050405020304" pitchFamily="18" charset="0"/>
                </a:rPr>
                <a:t>+ ..... + </a:t>
              </a:r>
              <a:r>
                <a:rPr lang="en-US" sz="1100" b="0" i="0">
                  <a:solidFill>
                    <a:schemeClr val="tx1"/>
                  </a:solidFill>
                  <a:effectLst/>
                  <a:latin typeface="+mn-lt"/>
                  <a:ea typeface="+mn-ea"/>
                  <a:cs typeface="+mn-cs"/>
                </a:rPr>
                <a:t>6241</a:t>
              </a:r>
              <a:r>
                <a:rPr lang="en-US" sz="1200" b="0" i="0">
                  <a:solidFill>
                    <a:schemeClr val="tx1"/>
                  </a:solidFill>
                  <a:effectLst/>
                  <a:latin typeface="Cambria Math" panose="02040503050406030204" pitchFamily="18" charset="0"/>
                  <a:ea typeface="Cambria Math" panose="02040503050406030204" pitchFamily="18" charset="0"/>
                  <a:cs typeface="+mn-cs"/>
                </a:rPr>
                <a:t>/(1+𝐼𝑅𝑅)^(</a:t>
              </a:r>
              <a:r>
                <a:rPr lang="en-US" sz="1100" b="0" i="0">
                  <a:solidFill>
                    <a:schemeClr val="tx1"/>
                  </a:solidFill>
                  <a:effectLst/>
                  <a:latin typeface="+mn-lt"/>
                  <a:ea typeface="+mn-ea"/>
                  <a:cs typeface="+mn-cs"/>
                </a:rPr>
                <a:t>𝑡_</a:t>
              </a:r>
              <a:r>
                <a:rPr lang="en-US" sz="1100" b="0" i="0">
                  <a:solidFill>
                    <a:schemeClr val="tx1"/>
                  </a:solidFill>
                  <a:effectLst/>
                  <a:latin typeface="Cambria Math" panose="02040503050406030204" pitchFamily="18" charset="0"/>
                  <a:ea typeface="+mn-ea"/>
                  <a:cs typeface="+mn-cs"/>
                </a:rPr>
                <a:t>𝑛</a:t>
              </a:r>
              <a:r>
                <a:rPr lang="en-US" sz="1100" b="0" i="0">
                  <a:solidFill>
                    <a:schemeClr val="tx1"/>
                  </a:solidFill>
                  <a:effectLst/>
                  <a:latin typeface="+mn-lt"/>
                  <a:ea typeface="+mn-ea"/>
                  <a:cs typeface="+mn-cs"/>
                </a:rPr>
                <a:t>/365</a:t>
              </a:r>
              <a:r>
                <a:rPr lang="en-US" sz="1200" b="0" i="0">
                  <a:solidFill>
                    <a:schemeClr val="tx1"/>
                  </a:solidFill>
                  <a:effectLst/>
                  <a:latin typeface="Cambria Math" panose="02040503050406030204" pitchFamily="18" charset="0"/>
                  <a:ea typeface="Cambria Math" panose="02040503050406030204" pitchFamily="18" charset="0"/>
                  <a:cs typeface="+mn-cs"/>
                </a:rPr>
                <a:t>) </a:t>
              </a:r>
              <a:endParaRPr lang="en-US" sz="1200">
                <a:latin typeface="Cambria Math" panose="02040503050406030204" pitchFamily="18" charset="0"/>
                <a:ea typeface="Cambria Math" panose="02040503050406030204" pitchFamily="18" charset="0"/>
                <a:cs typeface="Times New Roman" panose="02020603050405020304" pitchFamily="18" charset="0"/>
              </a:endParaRPr>
            </a:p>
          </xdr:txBody>
        </xdr:sp>
      </mc:Fallback>
    </mc:AlternateContent>
    <xdr:clientData/>
  </xdr:oneCellAnchor>
  <xdr:oneCellAnchor>
    <xdr:from>
      <xdr:col>4</xdr:col>
      <xdr:colOff>71723</xdr:colOff>
      <xdr:row>18</xdr:row>
      <xdr:rowOff>130333</xdr:rowOff>
    </xdr:from>
    <xdr:ext cx="5742337" cy="352789"/>
    <mc:AlternateContent xmlns:mc="http://schemas.openxmlformats.org/markup-compatibility/2006" xmlns:a14="http://schemas.microsoft.com/office/drawing/2010/main">
      <mc:Choice Requires="a14">
        <xdr:sp macro="" textlink="">
          <xdr:nvSpPr>
            <xdr:cNvPr id="4" name="TextBox 3">
              <a:extLst>
                <a:ext uri="{FF2B5EF4-FFF2-40B4-BE49-F238E27FC236}">
                  <a16:creationId xmlns:a16="http://schemas.microsoft.com/office/drawing/2014/main" id="{408A478B-5197-461F-9581-5D580D3D893E}"/>
                </a:ext>
              </a:extLst>
            </xdr:cNvPr>
            <xdr:cNvSpPr txBox="1"/>
          </xdr:nvSpPr>
          <xdr:spPr>
            <a:xfrm>
              <a:off x="3203543" y="6432073"/>
              <a:ext cx="5742337" cy="35278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14:m>
                <m:oMath xmlns:m="http://schemas.openxmlformats.org/officeDocument/2006/math">
                  <m:d>
                    <m:dPr>
                      <m:ctrlPr>
                        <a:rPr lang="en-US" sz="1200" b="0" i="1">
                          <a:latin typeface="Cambria Math" panose="02040503050406030204" pitchFamily="18" charset="0"/>
                          <a:ea typeface="Cambria Math" panose="02040503050406030204" pitchFamily="18" charset="0"/>
                        </a:rPr>
                      </m:ctrlPr>
                    </m:dPr>
                    <m:e>
                      <m:r>
                        <a:rPr lang="en-US" sz="1200" b="0" i="1">
                          <a:latin typeface="Cambria Math" panose="02040503050406030204" pitchFamily="18" charset="0"/>
                          <a:ea typeface="Cambria Math" panose="02040503050406030204" pitchFamily="18" charset="0"/>
                        </a:rPr>
                        <m:t>1,500,000 −2,000</m:t>
                      </m:r>
                    </m:e>
                  </m:d>
                  <m:r>
                    <a:rPr lang="en-US" sz="1200" b="0" i="1">
                      <a:latin typeface="Cambria Math" panose="02040503050406030204" pitchFamily="18" charset="0"/>
                      <a:ea typeface="Cambria Math" panose="02040503050406030204" pitchFamily="18" charset="0"/>
                    </a:rPr>
                    <m:t>=1,498</m:t>
                  </m:r>
                  <m:r>
                    <a:rPr lang="en-US" sz="1200" b="0" i="1">
                      <a:solidFill>
                        <a:schemeClr val="tx1"/>
                      </a:solidFill>
                      <a:effectLst/>
                      <a:latin typeface="Cambria Math" panose="02040503050406030204" pitchFamily="18" charset="0"/>
                      <a:ea typeface="Cambria Math" panose="02040503050406030204" pitchFamily="18" charset="0"/>
                      <a:cs typeface="+mn-cs"/>
                    </a:rPr>
                    <m:t>,000 =</m:t>
                  </m:r>
                  <m:f>
                    <m:fPr>
                      <m:ctrlPr>
                        <a:rPr lang="en-US" sz="1200" b="0" i="1">
                          <a:latin typeface="Cambria Math" panose="02040503050406030204" pitchFamily="18" charset="0"/>
                          <a:ea typeface="Cambria Math" panose="02040503050406030204" pitchFamily="18" charset="0"/>
                        </a:rPr>
                      </m:ctrlPr>
                    </m:fPr>
                    <m:num>
                      <m:r>
                        <a:rPr lang="en-US" sz="1200" b="0" i="1">
                          <a:latin typeface="Cambria Math" panose="02040503050406030204" pitchFamily="18" charset="0"/>
                          <a:ea typeface="Cambria Math" panose="02040503050406030204" pitchFamily="18" charset="0"/>
                        </a:rPr>
                        <m:t>5811</m:t>
                      </m:r>
                    </m:num>
                    <m:den>
                      <m:sSup>
                        <m:sSupPr>
                          <m:ctrlPr>
                            <a:rPr lang="en-US" sz="1200" b="0" i="1">
                              <a:latin typeface="Cambria Math" panose="02040503050406030204" pitchFamily="18" charset="0"/>
                              <a:ea typeface="Cambria Math" panose="02040503050406030204" pitchFamily="18" charset="0"/>
                            </a:rPr>
                          </m:ctrlPr>
                        </m:sSupPr>
                        <m:e>
                          <m:d>
                            <m:dPr>
                              <m:ctrlPr>
                                <a:rPr lang="en-US" sz="1200" b="0" i="1">
                                  <a:latin typeface="Cambria Math" panose="02040503050406030204" pitchFamily="18" charset="0"/>
                                  <a:ea typeface="Cambria Math" panose="02040503050406030204" pitchFamily="18" charset="0"/>
                                </a:rPr>
                              </m:ctrlPr>
                            </m:dPr>
                            <m:e>
                              <m:r>
                                <a:rPr lang="en-US" sz="1200" b="0" i="1">
                                  <a:latin typeface="Cambria Math" panose="02040503050406030204" pitchFamily="18" charset="0"/>
                                  <a:ea typeface="Cambria Math" panose="02040503050406030204" pitchFamily="18" charset="0"/>
                                </a:rPr>
                                <m:t>1+</m:t>
                              </m:r>
                              <m:r>
                                <a:rPr lang="en-US" sz="1200" b="0" i="1">
                                  <a:latin typeface="Cambria Math" panose="02040503050406030204" pitchFamily="18" charset="0"/>
                                  <a:ea typeface="Cambria Math" panose="02040503050406030204" pitchFamily="18" charset="0"/>
                                </a:rPr>
                                <m:t>𝐼𝑅𝑅</m:t>
                              </m:r>
                            </m:e>
                          </m:d>
                        </m:e>
                        <m:sup>
                          <m:f>
                            <m:fPr>
                              <m:ctrlPr>
                                <a:rPr lang="en-US" sz="1100" b="0" i="1">
                                  <a:solidFill>
                                    <a:schemeClr val="tx1"/>
                                  </a:solidFill>
                                  <a:effectLst/>
                                  <a:latin typeface="Cambria Math" panose="02040503050406030204" pitchFamily="18" charset="0"/>
                                  <a:ea typeface="+mn-ea"/>
                                  <a:cs typeface="+mn-cs"/>
                                </a:rPr>
                              </m:ctrlPr>
                            </m:fPr>
                            <m:num>
                              <m:sSub>
                                <m:sSubPr>
                                  <m:ctrlPr>
                                    <a:rPr lang="en-US" sz="1100" b="0" i="1">
                                      <a:solidFill>
                                        <a:schemeClr val="tx1"/>
                                      </a:solidFill>
                                      <a:effectLst/>
                                      <a:latin typeface="Cambria Math" panose="02040503050406030204" pitchFamily="18" charset="0"/>
                                      <a:ea typeface="+mn-ea"/>
                                      <a:cs typeface="+mn-cs"/>
                                    </a:rPr>
                                  </m:ctrlPr>
                                </m:sSubPr>
                                <m:e>
                                  <m:r>
                                    <a:rPr lang="en-US" sz="1100" b="0" i="1">
                                      <a:solidFill>
                                        <a:schemeClr val="tx1"/>
                                      </a:solidFill>
                                      <a:effectLst/>
                                      <a:latin typeface="Cambria Math" panose="02040503050406030204" pitchFamily="18" charset="0"/>
                                      <a:ea typeface="+mn-ea"/>
                                      <a:cs typeface="+mn-cs"/>
                                    </a:rPr>
                                    <m:t>𝑡</m:t>
                                  </m:r>
                                </m:e>
                                <m:sub>
                                  <m:r>
                                    <a:rPr lang="en-US" sz="1100" b="0" i="1">
                                      <a:solidFill>
                                        <a:schemeClr val="tx1"/>
                                      </a:solidFill>
                                      <a:effectLst/>
                                      <a:latin typeface="Cambria Math" panose="02040503050406030204" pitchFamily="18" charset="0"/>
                                      <a:ea typeface="+mn-ea"/>
                                      <a:cs typeface="+mn-cs"/>
                                    </a:rPr>
                                    <m:t>1</m:t>
                                  </m:r>
                                </m:sub>
                              </m:sSub>
                            </m:num>
                            <m:den>
                              <m:r>
                                <a:rPr lang="en-US" sz="1100" b="0" i="1">
                                  <a:solidFill>
                                    <a:schemeClr val="tx1"/>
                                  </a:solidFill>
                                  <a:effectLst/>
                                  <a:latin typeface="Cambria Math" panose="02040503050406030204" pitchFamily="18" charset="0"/>
                                  <a:ea typeface="+mn-ea"/>
                                  <a:cs typeface="+mn-cs"/>
                                </a:rPr>
                                <m:t>365</m:t>
                              </m:r>
                            </m:den>
                          </m:f>
                        </m:sup>
                      </m:sSup>
                    </m:den>
                  </m:f>
                </m:oMath>
              </a14:m>
              <a:r>
                <a:rPr lang="en-US" sz="1200">
                  <a:latin typeface="Cambria Math" panose="02040503050406030204" pitchFamily="18" charset="0"/>
                  <a:ea typeface="Cambria Math" panose="02040503050406030204" pitchFamily="18" charset="0"/>
                  <a:cs typeface="Times New Roman" panose="02020603050405020304" pitchFamily="18" charset="0"/>
                </a:rPr>
                <a:t>+ </a:t>
              </a:r>
              <a14:m>
                <m:oMath xmlns:m="http://schemas.openxmlformats.org/officeDocument/2006/math">
                  <m:f>
                    <m:fPr>
                      <m:ctrlPr>
                        <a:rPr lang="en-US" sz="1200" b="0" i="1">
                          <a:solidFill>
                            <a:schemeClr val="tx1"/>
                          </a:solidFill>
                          <a:effectLst/>
                          <a:latin typeface="Cambria Math" panose="02040503050406030204" pitchFamily="18" charset="0"/>
                          <a:ea typeface="Cambria Math" panose="02040503050406030204" pitchFamily="18" charset="0"/>
                          <a:cs typeface="+mn-cs"/>
                        </a:rPr>
                      </m:ctrlPr>
                    </m:fPr>
                    <m:num>
                      <m:r>
                        <a:rPr lang="en-US" sz="1200" b="0" i="1">
                          <a:solidFill>
                            <a:schemeClr val="tx1"/>
                          </a:solidFill>
                          <a:effectLst/>
                          <a:latin typeface="Cambria Math" panose="02040503050406030204" pitchFamily="18" charset="0"/>
                          <a:ea typeface="Cambria Math" panose="02040503050406030204" pitchFamily="18" charset="0"/>
                          <a:cs typeface="+mn-cs"/>
                        </a:rPr>
                        <m:t>5811</m:t>
                      </m:r>
                    </m:num>
                    <m:den>
                      <m:sSup>
                        <m:sSupPr>
                          <m:ctrlPr>
                            <a:rPr lang="en-US" sz="1200" b="0" i="1">
                              <a:solidFill>
                                <a:schemeClr val="tx1"/>
                              </a:solidFill>
                              <a:effectLst/>
                              <a:latin typeface="Cambria Math" panose="02040503050406030204" pitchFamily="18" charset="0"/>
                              <a:ea typeface="Cambria Math" panose="02040503050406030204" pitchFamily="18" charset="0"/>
                              <a:cs typeface="+mn-cs"/>
                            </a:rPr>
                          </m:ctrlPr>
                        </m:sSupPr>
                        <m:e>
                          <m:d>
                            <m:dPr>
                              <m:ctrlPr>
                                <a:rPr lang="en-US" sz="1200" b="0" i="1">
                                  <a:solidFill>
                                    <a:schemeClr val="tx1"/>
                                  </a:solidFill>
                                  <a:effectLst/>
                                  <a:latin typeface="Cambria Math" panose="02040503050406030204" pitchFamily="18" charset="0"/>
                                  <a:ea typeface="Cambria Math" panose="02040503050406030204" pitchFamily="18" charset="0"/>
                                  <a:cs typeface="+mn-cs"/>
                                </a:rPr>
                              </m:ctrlPr>
                            </m:dPr>
                            <m:e>
                              <m:r>
                                <a:rPr lang="en-US" sz="1200" b="0" i="1">
                                  <a:solidFill>
                                    <a:schemeClr val="tx1"/>
                                  </a:solidFill>
                                  <a:effectLst/>
                                  <a:latin typeface="Cambria Math" panose="02040503050406030204" pitchFamily="18" charset="0"/>
                                  <a:ea typeface="Cambria Math" panose="02040503050406030204" pitchFamily="18" charset="0"/>
                                  <a:cs typeface="+mn-cs"/>
                                </a:rPr>
                                <m:t>1+</m:t>
                              </m:r>
                              <m:r>
                                <a:rPr lang="en-US" sz="1200" b="0" i="1">
                                  <a:solidFill>
                                    <a:schemeClr val="tx1"/>
                                  </a:solidFill>
                                  <a:effectLst/>
                                  <a:latin typeface="Cambria Math" panose="02040503050406030204" pitchFamily="18" charset="0"/>
                                  <a:ea typeface="Cambria Math" panose="02040503050406030204" pitchFamily="18" charset="0"/>
                                  <a:cs typeface="+mn-cs"/>
                                </a:rPr>
                                <m:t>𝐼𝑅𝑅</m:t>
                              </m:r>
                            </m:e>
                          </m:d>
                        </m:e>
                        <m:sup>
                          <m:f>
                            <m:fPr>
                              <m:ctrlPr>
                                <a:rPr lang="en-US" sz="1100" b="0" i="1">
                                  <a:solidFill>
                                    <a:schemeClr val="tx1"/>
                                  </a:solidFill>
                                  <a:effectLst/>
                                  <a:latin typeface="Cambria Math" panose="02040503050406030204" pitchFamily="18" charset="0"/>
                                  <a:ea typeface="+mn-ea"/>
                                  <a:cs typeface="+mn-cs"/>
                                </a:rPr>
                              </m:ctrlPr>
                            </m:fPr>
                            <m:num>
                              <m:sSub>
                                <m:sSubPr>
                                  <m:ctrlPr>
                                    <a:rPr lang="en-US" sz="1100" b="0" i="1">
                                      <a:solidFill>
                                        <a:schemeClr val="tx1"/>
                                      </a:solidFill>
                                      <a:effectLst/>
                                      <a:latin typeface="Cambria Math" panose="02040503050406030204" pitchFamily="18" charset="0"/>
                                      <a:ea typeface="+mn-ea"/>
                                      <a:cs typeface="+mn-cs"/>
                                    </a:rPr>
                                  </m:ctrlPr>
                                </m:sSubPr>
                                <m:e>
                                  <m:r>
                                    <a:rPr lang="en-US" sz="1100" b="0" i="1">
                                      <a:solidFill>
                                        <a:schemeClr val="tx1"/>
                                      </a:solidFill>
                                      <a:effectLst/>
                                      <a:latin typeface="Cambria Math" panose="02040503050406030204" pitchFamily="18" charset="0"/>
                                      <a:ea typeface="+mn-ea"/>
                                      <a:cs typeface="+mn-cs"/>
                                    </a:rPr>
                                    <m:t>𝑡</m:t>
                                  </m:r>
                                </m:e>
                                <m:sub>
                                  <m:r>
                                    <a:rPr lang="en-US" sz="1100" b="0" i="1">
                                      <a:solidFill>
                                        <a:schemeClr val="tx1"/>
                                      </a:solidFill>
                                      <a:effectLst/>
                                      <a:latin typeface="Cambria Math" panose="02040503050406030204" pitchFamily="18" charset="0"/>
                                      <a:ea typeface="+mn-ea"/>
                                      <a:cs typeface="+mn-cs"/>
                                    </a:rPr>
                                    <m:t>2</m:t>
                                  </m:r>
                                </m:sub>
                              </m:sSub>
                            </m:num>
                            <m:den>
                              <m:r>
                                <a:rPr lang="en-US" sz="1100" b="0" i="1">
                                  <a:solidFill>
                                    <a:schemeClr val="tx1"/>
                                  </a:solidFill>
                                  <a:effectLst/>
                                  <a:latin typeface="Cambria Math" panose="02040503050406030204" pitchFamily="18" charset="0"/>
                                  <a:ea typeface="+mn-ea"/>
                                  <a:cs typeface="+mn-cs"/>
                                </a:rPr>
                                <m:t>365</m:t>
                              </m:r>
                            </m:den>
                          </m:f>
                        </m:sup>
                      </m:sSup>
                    </m:den>
                  </m:f>
                  <m:r>
                    <a:rPr lang="en-US" sz="1200" b="0" i="1">
                      <a:solidFill>
                        <a:schemeClr val="tx1"/>
                      </a:solidFill>
                      <a:effectLst/>
                      <a:latin typeface="Cambria Math" panose="02040503050406030204" pitchFamily="18" charset="0"/>
                      <a:ea typeface="Cambria Math" panose="02040503050406030204" pitchFamily="18" charset="0"/>
                      <a:cs typeface="+mn-cs"/>
                    </a:rPr>
                    <m:t>+</m:t>
                  </m:r>
                  <m:f>
                    <m:fPr>
                      <m:ctrlPr>
                        <a:rPr lang="en-US" sz="1200" b="0" i="1">
                          <a:solidFill>
                            <a:schemeClr val="tx1"/>
                          </a:solidFill>
                          <a:effectLst/>
                          <a:latin typeface="Cambria Math" panose="02040503050406030204" pitchFamily="18" charset="0"/>
                          <a:ea typeface="Cambria Math" panose="02040503050406030204" pitchFamily="18" charset="0"/>
                          <a:cs typeface="+mn-cs"/>
                        </a:rPr>
                      </m:ctrlPr>
                    </m:fPr>
                    <m:num>
                      <m:r>
                        <a:rPr lang="en-US" sz="1200" b="0" i="1">
                          <a:solidFill>
                            <a:schemeClr val="tx1"/>
                          </a:solidFill>
                          <a:effectLst/>
                          <a:latin typeface="Cambria Math" panose="02040503050406030204" pitchFamily="18" charset="0"/>
                          <a:ea typeface="Cambria Math" panose="02040503050406030204" pitchFamily="18" charset="0"/>
                          <a:cs typeface="+mn-cs"/>
                        </a:rPr>
                        <m:t>5811</m:t>
                      </m:r>
                    </m:num>
                    <m:den>
                      <m:sSup>
                        <m:sSupPr>
                          <m:ctrlPr>
                            <a:rPr lang="en-US" sz="1200" b="0" i="1">
                              <a:solidFill>
                                <a:schemeClr val="tx1"/>
                              </a:solidFill>
                              <a:effectLst/>
                              <a:latin typeface="Cambria Math" panose="02040503050406030204" pitchFamily="18" charset="0"/>
                              <a:ea typeface="Cambria Math" panose="02040503050406030204" pitchFamily="18" charset="0"/>
                              <a:cs typeface="+mn-cs"/>
                            </a:rPr>
                          </m:ctrlPr>
                        </m:sSupPr>
                        <m:e>
                          <m:d>
                            <m:dPr>
                              <m:ctrlPr>
                                <a:rPr lang="en-US" sz="1200" b="0" i="1">
                                  <a:solidFill>
                                    <a:schemeClr val="tx1"/>
                                  </a:solidFill>
                                  <a:effectLst/>
                                  <a:latin typeface="Cambria Math" panose="02040503050406030204" pitchFamily="18" charset="0"/>
                                  <a:ea typeface="Cambria Math" panose="02040503050406030204" pitchFamily="18" charset="0"/>
                                  <a:cs typeface="+mn-cs"/>
                                </a:rPr>
                              </m:ctrlPr>
                            </m:dPr>
                            <m:e>
                              <m:r>
                                <a:rPr lang="en-US" sz="1200" b="0" i="1">
                                  <a:solidFill>
                                    <a:schemeClr val="tx1"/>
                                  </a:solidFill>
                                  <a:effectLst/>
                                  <a:latin typeface="Cambria Math" panose="02040503050406030204" pitchFamily="18" charset="0"/>
                                  <a:ea typeface="Cambria Math" panose="02040503050406030204" pitchFamily="18" charset="0"/>
                                  <a:cs typeface="+mn-cs"/>
                                </a:rPr>
                                <m:t>1+</m:t>
                              </m:r>
                              <m:r>
                                <a:rPr lang="en-US" sz="1200" b="0" i="1">
                                  <a:solidFill>
                                    <a:schemeClr val="tx1"/>
                                  </a:solidFill>
                                  <a:effectLst/>
                                  <a:latin typeface="Cambria Math" panose="02040503050406030204" pitchFamily="18" charset="0"/>
                                  <a:ea typeface="Cambria Math" panose="02040503050406030204" pitchFamily="18" charset="0"/>
                                  <a:cs typeface="+mn-cs"/>
                                </a:rPr>
                                <m:t>𝐼𝑅𝑅</m:t>
                              </m:r>
                            </m:e>
                          </m:d>
                        </m:e>
                        <m:sup>
                          <m:f>
                            <m:fPr>
                              <m:ctrlPr>
                                <a:rPr lang="en-US" sz="1100" b="0" i="1">
                                  <a:solidFill>
                                    <a:schemeClr val="tx1"/>
                                  </a:solidFill>
                                  <a:effectLst/>
                                  <a:latin typeface="Cambria Math" panose="02040503050406030204" pitchFamily="18" charset="0"/>
                                  <a:ea typeface="+mn-ea"/>
                                  <a:cs typeface="+mn-cs"/>
                                </a:rPr>
                              </m:ctrlPr>
                            </m:fPr>
                            <m:num>
                              <m:sSub>
                                <m:sSubPr>
                                  <m:ctrlPr>
                                    <a:rPr lang="en-US" sz="1100" b="0" i="1">
                                      <a:solidFill>
                                        <a:schemeClr val="tx1"/>
                                      </a:solidFill>
                                      <a:effectLst/>
                                      <a:latin typeface="Cambria Math" panose="02040503050406030204" pitchFamily="18" charset="0"/>
                                      <a:ea typeface="+mn-ea"/>
                                      <a:cs typeface="+mn-cs"/>
                                    </a:rPr>
                                  </m:ctrlPr>
                                </m:sSubPr>
                                <m:e>
                                  <m:r>
                                    <a:rPr lang="en-US" sz="1100" b="0" i="1">
                                      <a:solidFill>
                                        <a:schemeClr val="tx1"/>
                                      </a:solidFill>
                                      <a:effectLst/>
                                      <a:latin typeface="Cambria Math" panose="02040503050406030204" pitchFamily="18" charset="0"/>
                                      <a:ea typeface="+mn-ea"/>
                                      <a:cs typeface="+mn-cs"/>
                                    </a:rPr>
                                    <m:t>𝑡</m:t>
                                  </m:r>
                                </m:e>
                                <m:sub>
                                  <m:r>
                                    <a:rPr lang="en-US" sz="1100" b="0" i="1">
                                      <a:solidFill>
                                        <a:schemeClr val="tx1"/>
                                      </a:solidFill>
                                      <a:effectLst/>
                                      <a:latin typeface="Cambria Math" panose="02040503050406030204" pitchFamily="18" charset="0"/>
                                      <a:ea typeface="+mn-ea"/>
                                      <a:cs typeface="+mn-cs"/>
                                    </a:rPr>
                                    <m:t>3</m:t>
                                  </m:r>
                                </m:sub>
                              </m:sSub>
                            </m:num>
                            <m:den>
                              <m:r>
                                <a:rPr lang="en-US" sz="1100" b="0" i="1">
                                  <a:solidFill>
                                    <a:schemeClr val="tx1"/>
                                  </a:solidFill>
                                  <a:effectLst/>
                                  <a:latin typeface="Cambria Math" panose="02040503050406030204" pitchFamily="18" charset="0"/>
                                  <a:ea typeface="+mn-ea"/>
                                  <a:cs typeface="+mn-cs"/>
                                </a:rPr>
                                <m:t>365</m:t>
                              </m:r>
                            </m:den>
                          </m:f>
                        </m:sup>
                      </m:sSup>
                    </m:den>
                  </m:f>
                </m:oMath>
              </a14:m>
              <a:r>
                <a:rPr lang="en-US" sz="1200">
                  <a:latin typeface="Cambria Math" panose="02040503050406030204" pitchFamily="18" charset="0"/>
                  <a:ea typeface="Cambria Math" panose="02040503050406030204" pitchFamily="18" charset="0"/>
                  <a:cs typeface="Times New Roman" panose="02020603050405020304" pitchFamily="18" charset="0"/>
                </a:rPr>
                <a:t>+ ..... + </a:t>
              </a:r>
              <a14:m>
                <m:oMath xmlns:m="http://schemas.openxmlformats.org/officeDocument/2006/math">
                  <m:f>
                    <m:fPr>
                      <m:ctrlPr>
                        <a:rPr lang="en-US" sz="1200" b="0" i="1">
                          <a:solidFill>
                            <a:schemeClr val="tx1"/>
                          </a:solidFill>
                          <a:effectLst/>
                          <a:latin typeface="Cambria Math" panose="02040503050406030204" pitchFamily="18" charset="0"/>
                          <a:ea typeface="Cambria Math" panose="02040503050406030204" pitchFamily="18" charset="0"/>
                          <a:cs typeface="+mn-cs"/>
                        </a:rPr>
                      </m:ctrlPr>
                    </m:fPr>
                    <m:num>
                      <m:r>
                        <a:rPr lang="en-US" sz="1200" b="0" i="1">
                          <a:solidFill>
                            <a:schemeClr val="tx1"/>
                          </a:solidFill>
                          <a:effectLst/>
                          <a:latin typeface="Cambria Math" panose="02040503050406030204" pitchFamily="18" charset="0"/>
                          <a:ea typeface="Cambria Math" panose="02040503050406030204" pitchFamily="18" charset="0"/>
                          <a:cs typeface="+mn-cs"/>
                        </a:rPr>
                        <m:t>5911</m:t>
                      </m:r>
                    </m:num>
                    <m:den>
                      <m:sSup>
                        <m:sSupPr>
                          <m:ctrlPr>
                            <a:rPr lang="en-US" sz="1200" b="0" i="1">
                              <a:solidFill>
                                <a:schemeClr val="tx1"/>
                              </a:solidFill>
                              <a:effectLst/>
                              <a:latin typeface="Cambria Math" panose="02040503050406030204" pitchFamily="18" charset="0"/>
                              <a:ea typeface="Cambria Math" panose="02040503050406030204" pitchFamily="18" charset="0"/>
                              <a:cs typeface="+mn-cs"/>
                            </a:rPr>
                          </m:ctrlPr>
                        </m:sSupPr>
                        <m:e>
                          <m:d>
                            <m:dPr>
                              <m:ctrlPr>
                                <a:rPr lang="en-US" sz="1200" b="0" i="1">
                                  <a:solidFill>
                                    <a:schemeClr val="tx1"/>
                                  </a:solidFill>
                                  <a:effectLst/>
                                  <a:latin typeface="Cambria Math" panose="02040503050406030204" pitchFamily="18" charset="0"/>
                                  <a:ea typeface="Cambria Math" panose="02040503050406030204" pitchFamily="18" charset="0"/>
                                  <a:cs typeface="+mn-cs"/>
                                </a:rPr>
                              </m:ctrlPr>
                            </m:dPr>
                            <m:e>
                              <m:r>
                                <a:rPr lang="en-US" sz="1200" b="0" i="1">
                                  <a:solidFill>
                                    <a:schemeClr val="tx1"/>
                                  </a:solidFill>
                                  <a:effectLst/>
                                  <a:latin typeface="Cambria Math" panose="02040503050406030204" pitchFamily="18" charset="0"/>
                                  <a:ea typeface="Cambria Math" panose="02040503050406030204" pitchFamily="18" charset="0"/>
                                  <a:cs typeface="+mn-cs"/>
                                </a:rPr>
                                <m:t>1+</m:t>
                              </m:r>
                              <m:r>
                                <a:rPr lang="en-US" sz="1200" b="0" i="1">
                                  <a:solidFill>
                                    <a:schemeClr val="tx1"/>
                                  </a:solidFill>
                                  <a:effectLst/>
                                  <a:latin typeface="Cambria Math" panose="02040503050406030204" pitchFamily="18" charset="0"/>
                                  <a:ea typeface="Cambria Math" panose="02040503050406030204" pitchFamily="18" charset="0"/>
                                  <a:cs typeface="+mn-cs"/>
                                </a:rPr>
                                <m:t>𝐼𝑅𝑅</m:t>
                              </m:r>
                            </m:e>
                          </m:d>
                        </m:e>
                        <m:sup>
                          <m:f>
                            <m:fPr>
                              <m:ctrlPr>
                                <a:rPr lang="en-US" sz="1100" b="0" i="1">
                                  <a:solidFill>
                                    <a:schemeClr val="tx1"/>
                                  </a:solidFill>
                                  <a:effectLst/>
                                  <a:latin typeface="Cambria Math" panose="02040503050406030204" pitchFamily="18" charset="0"/>
                                  <a:ea typeface="+mn-ea"/>
                                  <a:cs typeface="+mn-cs"/>
                                </a:rPr>
                              </m:ctrlPr>
                            </m:fPr>
                            <m:num>
                              <m:sSub>
                                <m:sSubPr>
                                  <m:ctrlPr>
                                    <a:rPr lang="en-US" sz="1100" b="0" i="1">
                                      <a:solidFill>
                                        <a:schemeClr val="tx1"/>
                                      </a:solidFill>
                                      <a:effectLst/>
                                      <a:latin typeface="Cambria Math" panose="02040503050406030204" pitchFamily="18" charset="0"/>
                                      <a:ea typeface="+mn-ea"/>
                                      <a:cs typeface="+mn-cs"/>
                                    </a:rPr>
                                  </m:ctrlPr>
                                </m:sSubPr>
                                <m:e>
                                  <m:r>
                                    <a:rPr lang="en-US" sz="1100" b="0" i="1">
                                      <a:solidFill>
                                        <a:schemeClr val="tx1"/>
                                      </a:solidFill>
                                      <a:effectLst/>
                                      <a:latin typeface="Cambria Math" panose="02040503050406030204" pitchFamily="18" charset="0"/>
                                      <a:ea typeface="+mn-ea"/>
                                      <a:cs typeface="+mn-cs"/>
                                    </a:rPr>
                                    <m:t>𝑡</m:t>
                                  </m:r>
                                </m:e>
                                <m:sub>
                                  <m:r>
                                    <a:rPr lang="en-US" sz="1100" b="0" i="1">
                                      <a:solidFill>
                                        <a:schemeClr val="tx1"/>
                                      </a:solidFill>
                                      <a:effectLst/>
                                      <a:latin typeface="Cambria Math" panose="02040503050406030204" pitchFamily="18" charset="0"/>
                                      <a:ea typeface="+mn-ea"/>
                                      <a:cs typeface="+mn-cs"/>
                                    </a:rPr>
                                    <m:t>𝑛</m:t>
                                  </m:r>
                                </m:sub>
                              </m:sSub>
                            </m:num>
                            <m:den>
                              <m:r>
                                <a:rPr lang="en-US" sz="1100" b="0" i="1">
                                  <a:solidFill>
                                    <a:schemeClr val="tx1"/>
                                  </a:solidFill>
                                  <a:effectLst/>
                                  <a:latin typeface="Cambria Math" panose="02040503050406030204" pitchFamily="18" charset="0"/>
                                  <a:ea typeface="+mn-ea"/>
                                  <a:cs typeface="+mn-cs"/>
                                </a:rPr>
                                <m:t>365</m:t>
                              </m:r>
                            </m:den>
                          </m:f>
                        </m:sup>
                      </m:sSup>
                    </m:den>
                  </m:f>
                </m:oMath>
              </a14:m>
              <a:endParaRPr lang="en-US" sz="1200">
                <a:latin typeface="Cambria Math" panose="02040503050406030204" pitchFamily="18" charset="0"/>
                <a:ea typeface="Cambria Math" panose="02040503050406030204" pitchFamily="18" charset="0"/>
                <a:cs typeface="Times New Roman" panose="02020603050405020304" pitchFamily="18" charset="0"/>
              </a:endParaRPr>
            </a:p>
          </xdr:txBody>
        </xdr:sp>
      </mc:Choice>
      <mc:Fallback xmlns="">
        <xdr:sp macro="" textlink="">
          <xdr:nvSpPr>
            <xdr:cNvPr id="4" name="TextBox 3">
              <a:extLst>
                <a:ext uri="{FF2B5EF4-FFF2-40B4-BE49-F238E27FC236}">
                  <a16:creationId xmlns:a16="http://schemas.microsoft.com/office/drawing/2014/main" id="{408A478B-5197-461F-9581-5D580D3D893E}"/>
                </a:ext>
              </a:extLst>
            </xdr:cNvPr>
            <xdr:cNvSpPr txBox="1"/>
          </xdr:nvSpPr>
          <xdr:spPr>
            <a:xfrm>
              <a:off x="3203543" y="6432073"/>
              <a:ext cx="5742337" cy="35278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r>
                <a:rPr lang="en-US" sz="1200" b="0" i="0">
                  <a:latin typeface="Cambria Math" panose="02040503050406030204" pitchFamily="18" charset="0"/>
                  <a:ea typeface="Cambria Math" panose="02040503050406030204" pitchFamily="18" charset="0"/>
                </a:rPr>
                <a:t>(1,500,000 −2,000)=1,498</a:t>
              </a:r>
              <a:r>
                <a:rPr lang="en-US" sz="1200" b="0" i="0">
                  <a:solidFill>
                    <a:schemeClr val="tx1"/>
                  </a:solidFill>
                  <a:effectLst/>
                  <a:latin typeface="Cambria Math" panose="02040503050406030204" pitchFamily="18" charset="0"/>
                  <a:ea typeface="Cambria Math" panose="02040503050406030204" pitchFamily="18" charset="0"/>
                  <a:cs typeface="+mn-cs"/>
                </a:rPr>
                <a:t>,000 </a:t>
              </a:r>
              <a:r>
                <a:rPr lang="en-US" sz="1200" b="0" i="0">
                  <a:latin typeface="Cambria Math" panose="02040503050406030204" pitchFamily="18" charset="0"/>
                  <a:ea typeface="Cambria Math" panose="02040503050406030204" pitchFamily="18" charset="0"/>
                </a:rPr>
                <a:t>=5811/(1+𝐼𝑅𝑅)^(</a:t>
              </a:r>
              <a:r>
                <a:rPr lang="en-US" sz="1100" b="0" i="0">
                  <a:solidFill>
                    <a:schemeClr val="tx1"/>
                  </a:solidFill>
                  <a:effectLst/>
                  <a:latin typeface="Cambria Math" panose="02040503050406030204" pitchFamily="18" charset="0"/>
                  <a:ea typeface="+mn-ea"/>
                  <a:cs typeface="+mn-cs"/>
                </a:rPr>
                <a:t>𝑡_1/365</a:t>
              </a:r>
              <a:r>
                <a:rPr lang="en-US" sz="1200" b="0" i="0">
                  <a:solidFill>
                    <a:schemeClr val="tx1"/>
                  </a:solidFill>
                  <a:effectLst/>
                  <a:latin typeface="Cambria Math" panose="02040503050406030204" pitchFamily="18" charset="0"/>
                  <a:ea typeface="Cambria Math" panose="02040503050406030204" pitchFamily="18" charset="0"/>
                  <a:cs typeface="+mn-cs"/>
                </a:rPr>
                <a:t>)</a:t>
              </a:r>
              <a:r>
                <a:rPr lang="en-US" sz="1100" b="0" i="0">
                  <a:solidFill>
                    <a:schemeClr val="tx1"/>
                  </a:solidFill>
                  <a:effectLst/>
                  <a:latin typeface="Cambria Math" panose="02040503050406030204" pitchFamily="18" charset="0"/>
                  <a:ea typeface="+mn-ea"/>
                  <a:cs typeface="+mn-cs"/>
                </a:rPr>
                <a:t> </a:t>
              </a:r>
              <a:r>
                <a:rPr lang="en-US" sz="1200">
                  <a:latin typeface="Cambria Math" panose="02040503050406030204" pitchFamily="18" charset="0"/>
                  <a:ea typeface="Cambria Math" panose="02040503050406030204" pitchFamily="18" charset="0"/>
                  <a:cs typeface="Times New Roman" panose="02020603050405020304" pitchFamily="18" charset="0"/>
                </a:rPr>
                <a:t>+ </a:t>
              </a:r>
              <a:r>
                <a:rPr lang="en-US" sz="1200" b="0" i="0">
                  <a:solidFill>
                    <a:schemeClr val="tx1"/>
                  </a:solidFill>
                  <a:effectLst/>
                  <a:latin typeface="Cambria Math" panose="02040503050406030204" pitchFamily="18" charset="0"/>
                  <a:ea typeface="Cambria Math" panose="02040503050406030204" pitchFamily="18" charset="0"/>
                  <a:cs typeface="+mn-cs"/>
                </a:rPr>
                <a:t>5811/(1+𝐼𝑅𝑅)^(</a:t>
              </a:r>
              <a:r>
                <a:rPr lang="en-US" sz="1100" b="0" i="0">
                  <a:solidFill>
                    <a:schemeClr val="tx1"/>
                  </a:solidFill>
                  <a:effectLst/>
                  <a:latin typeface="Cambria Math" panose="02040503050406030204" pitchFamily="18" charset="0"/>
                  <a:ea typeface="+mn-ea"/>
                  <a:cs typeface="+mn-cs"/>
                </a:rPr>
                <a:t>𝑡_2/365</a:t>
              </a:r>
              <a:r>
                <a:rPr lang="en-US" sz="1200" b="0" i="0">
                  <a:solidFill>
                    <a:schemeClr val="tx1"/>
                  </a:solidFill>
                  <a:effectLst/>
                  <a:latin typeface="Cambria Math" panose="02040503050406030204" pitchFamily="18" charset="0"/>
                  <a:ea typeface="Cambria Math" panose="02040503050406030204" pitchFamily="18" charset="0"/>
                  <a:cs typeface="+mn-cs"/>
                </a:rPr>
                <a:t>)</a:t>
              </a:r>
              <a:r>
                <a:rPr lang="en-US" sz="1100" b="0" i="0">
                  <a:solidFill>
                    <a:schemeClr val="tx1"/>
                  </a:solidFill>
                  <a:effectLst/>
                  <a:latin typeface="Cambria Math" panose="02040503050406030204" pitchFamily="18" charset="0"/>
                  <a:ea typeface="+mn-ea"/>
                  <a:cs typeface="+mn-cs"/>
                </a:rPr>
                <a:t> </a:t>
              </a:r>
              <a:r>
                <a:rPr lang="en-US" sz="1200" b="0" i="0">
                  <a:solidFill>
                    <a:schemeClr val="tx1"/>
                  </a:solidFill>
                  <a:effectLst/>
                  <a:latin typeface="Cambria Math" panose="02040503050406030204" pitchFamily="18" charset="0"/>
                  <a:ea typeface="Cambria Math" panose="02040503050406030204" pitchFamily="18" charset="0"/>
                  <a:cs typeface="+mn-cs"/>
                </a:rPr>
                <a:t>+5811/(1+𝐼𝑅𝑅)^(</a:t>
              </a:r>
              <a:r>
                <a:rPr lang="en-US" sz="1100" b="0" i="0">
                  <a:solidFill>
                    <a:schemeClr val="tx1"/>
                  </a:solidFill>
                  <a:effectLst/>
                  <a:latin typeface="Cambria Math" panose="02040503050406030204" pitchFamily="18" charset="0"/>
                  <a:ea typeface="+mn-ea"/>
                  <a:cs typeface="+mn-cs"/>
                </a:rPr>
                <a:t>𝑡_3/365</a:t>
              </a:r>
              <a:r>
                <a:rPr lang="en-US" sz="1200" b="0" i="0">
                  <a:solidFill>
                    <a:schemeClr val="tx1"/>
                  </a:solidFill>
                  <a:effectLst/>
                  <a:latin typeface="Cambria Math" panose="02040503050406030204" pitchFamily="18" charset="0"/>
                  <a:ea typeface="Cambria Math" panose="02040503050406030204" pitchFamily="18" charset="0"/>
                  <a:cs typeface="+mn-cs"/>
                </a:rPr>
                <a:t>)</a:t>
              </a:r>
              <a:r>
                <a:rPr lang="en-US" sz="1100" b="0" i="0">
                  <a:solidFill>
                    <a:schemeClr val="tx1"/>
                  </a:solidFill>
                  <a:effectLst/>
                  <a:latin typeface="Cambria Math" panose="02040503050406030204" pitchFamily="18" charset="0"/>
                  <a:ea typeface="+mn-ea"/>
                  <a:cs typeface="+mn-cs"/>
                </a:rPr>
                <a:t> </a:t>
              </a:r>
              <a:r>
                <a:rPr lang="en-US" sz="1200">
                  <a:latin typeface="Cambria Math" panose="02040503050406030204" pitchFamily="18" charset="0"/>
                  <a:ea typeface="Cambria Math" panose="02040503050406030204" pitchFamily="18" charset="0"/>
                  <a:cs typeface="Times New Roman" panose="02020603050405020304" pitchFamily="18" charset="0"/>
                </a:rPr>
                <a:t>+ ..... + </a:t>
              </a:r>
              <a:r>
                <a:rPr lang="en-US" sz="1200" b="0" i="0">
                  <a:solidFill>
                    <a:schemeClr val="tx1"/>
                  </a:solidFill>
                  <a:effectLst/>
                  <a:latin typeface="Cambria Math" panose="02040503050406030204" pitchFamily="18" charset="0"/>
                  <a:ea typeface="Cambria Math" panose="02040503050406030204" pitchFamily="18" charset="0"/>
                  <a:cs typeface="+mn-cs"/>
                </a:rPr>
                <a:t>5911/(1+𝐼𝑅𝑅)^(</a:t>
              </a:r>
              <a:r>
                <a:rPr lang="en-US" sz="1100" b="0" i="0">
                  <a:solidFill>
                    <a:schemeClr val="tx1"/>
                  </a:solidFill>
                  <a:effectLst/>
                  <a:latin typeface="Cambria Math" panose="02040503050406030204" pitchFamily="18" charset="0"/>
                  <a:ea typeface="+mn-ea"/>
                  <a:cs typeface="+mn-cs"/>
                </a:rPr>
                <a:t>𝑡_𝑛/365</a:t>
              </a:r>
              <a:r>
                <a:rPr lang="en-US" sz="1200" b="0" i="0">
                  <a:solidFill>
                    <a:schemeClr val="tx1"/>
                  </a:solidFill>
                  <a:effectLst/>
                  <a:latin typeface="Cambria Math" panose="02040503050406030204" pitchFamily="18" charset="0"/>
                  <a:ea typeface="Cambria Math" panose="02040503050406030204" pitchFamily="18" charset="0"/>
                  <a:cs typeface="+mn-cs"/>
                </a:rPr>
                <a:t>)</a:t>
              </a:r>
              <a:r>
                <a:rPr lang="en-US" sz="1100" b="0" i="0">
                  <a:solidFill>
                    <a:schemeClr val="tx1"/>
                  </a:solidFill>
                  <a:effectLst/>
                  <a:latin typeface="Cambria Math" panose="02040503050406030204" pitchFamily="18" charset="0"/>
                  <a:ea typeface="+mn-ea"/>
                  <a:cs typeface="+mn-cs"/>
                </a:rPr>
                <a:t> </a:t>
              </a:r>
              <a:endParaRPr lang="en-US" sz="1200">
                <a:latin typeface="Cambria Math" panose="02040503050406030204" pitchFamily="18" charset="0"/>
                <a:ea typeface="Cambria Math" panose="02040503050406030204" pitchFamily="18" charset="0"/>
                <a:cs typeface="Times New Roman" panose="02020603050405020304" pitchFamily="18" charset="0"/>
              </a:endParaRPr>
            </a:p>
          </xdr:txBody>
        </xdr:sp>
      </mc:Fallback>
    </mc:AlternateContent>
    <xdr:clientData/>
  </xdr:oneCellAnchor>
  <xdr:oneCellAnchor>
    <xdr:from>
      <xdr:col>4</xdr:col>
      <xdr:colOff>170783</xdr:colOff>
      <xdr:row>24</xdr:row>
      <xdr:rowOff>160813</xdr:rowOff>
    </xdr:from>
    <xdr:ext cx="5742337" cy="342914"/>
    <mc:AlternateContent xmlns:mc="http://schemas.openxmlformats.org/markup-compatibility/2006" xmlns:a14="http://schemas.microsoft.com/office/drawing/2010/main">
      <mc:Choice Requires="a14">
        <xdr:sp macro="" textlink="">
          <xdr:nvSpPr>
            <xdr:cNvPr id="5" name="TextBox 4">
              <a:extLst>
                <a:ext uri="{FF2B5EF4-FFF2-40B4-BE49-F238E27FC236}">
                  <a16:creationId xmlns:a16="http://schemas.microsoft.com/office/drawing/2014/main" id="{FE35443B-FB44-4946-8EF2-2D9E4AF92A2B}"/>
                </a:ext>
              </a:extLst>
            </xdr:cNvPr>
            <xdr:cNvSpPr txBox="1"/>
          </xdr:nvSpPr>
          <xdr:spPr>
            <a:xfrm>
              <a:off x="3302866" y="8374647"/>
              <a:ext cx="5742337" cy="34291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14:m>
                <m:oMath xmlns:m="http://schemas.openxmlformats.org/officeDocument/2006/math">
                  <m:r>
                    <a:rPr lang="en-US" sz="1200" b="0" i="1">
                      <a:latin typeface="Cambria Math" panose="02040503050406030204" pitchFamily="18" charset="0"/>
                      <a:ea typeface="Cambria Math" panose="02040503050406030204" pitchFamily="18" charset="0"/>
                    </a:rPr>
                    <m:t>(</m:t>
                  </m:r>
                  <m:d>
                    <m:dPr>
                      <m:ctrlPr>
                        <a:rPr lang="en-US" sz="1200" b="0" i="1">
                          <a:latin typeface="Cambria Math" panose="02040503050406030204" pitchFamily="18" charset="0"/>
                          <a:ea typeface="Cambria Math" panose="02040503050406030204" pitchFamily="18" charset="0"/>
                        </a:rPr>
                      </m:ctrlPr>
                    </m:dPr>
                    <m:e>
                      <m:r>
                        <a:rPr lang="en-US" sz="1200" b="0" i="1">
                          <a:latin typeface="Cambria Math" panose="02040503050406030204" pitchFamily="18" charset="0"/>
                          <a:ea typeface="Cambria Math" panose="02040503050406030204" pitchFamily="18" charset="0"/>
                        </a:rPr>
                        <m:t>10,000) −115</m:t>
                      </m:r>
                    </m:e>
                  </m:d>
                  <m:r>
                    <a:rPr lang="en-US" sz="1200" b="0" i="1">
                      <a:latin typeface="Cambria Math" panose="02040503050406030204" pitchFamily="18" charset="0"/>
                      <a:ea typeface="Cambria Math" panose="02040503050406030204" pitchFamily="18" charset="0"/>
                    </a:rPr>
                    <m:t>=9</m:t>
                  </m:r>
                  <m:r>
                    <a:rPr lang="en-US" sz="1200" b="0" i="1">
                      <a:solidFill>
                        <a:schemeClr val="tx1"/>
                      </a:solidFill>
                      <a:effectLst/>
                      <a:latin typeface="Cambria Math" panose="02040503050406030204" pitchFamily="18" charset="0"/>
                      <a:ea typeface="Cambria Math" panose="02040503050406030204" pitchFamily="18" charset="0"/>
                      <a:cs typeface="+mn-cs"/>
                    </a:rPr>
                    <m:t>,885 =</m:t>
                  </m:r>
                  <m:f>
                    <m:fPr>
                      <m:ctrlPr>
                        <a:rPr lang="en-US" sz="1200" b="0" i="1">
                          <a:latin typeface="Cambria Math" panose="02040503050406030204" pitchFamily="18" charset="0"/>
                          <a:ea typeface="Cambria Math" panose="02040503050406030204" pitchFamily="18" charset="0"/>
                        </a:rPr>
                      </m:ctrlPr>
                    </m:fPr>
                    <m:num>
                      <m:r>
                        <a:rPr lang="en-US" sz="1200" b="0" i="1">
                          <a:latin typeface="Cambria Math" panose="02040503050406030204" pitchFamily="18" charset="0"/>
                          <a:ea typeface="Cambria Math" panose="02040503050406030204" pitchFamily="18" charset="0"/>
                        </a:rPr>
                        <m:t>879</m:t>
                      </m:r>
                    </m:num>
                    <m:den>
                      <m:sSup>
                        <m:sSupPr>
                          <m:ctrlPr>
                            <a:rPr lang="en-US" sz="1200" b="0" i="1">
                              <a:latin typeface="Cambria Math" panose="02040503050406030204" pitchFamily="18" charset="0"/>
                              <a:ea typeface="Cambria Math" panose="02040503050406030204" pitchFamily="18" charset="0"/>
                            </a:rPr>
                          </m:ctrlPr>
                        </m:sSupPr>
                        <m:e>
                          <m:d>
                            <m:dPr>
                              <m:ctrlPr>
                                <a:rPr lang="en-US" sz="1200" b="0" i="1">
                                  <a:latin typeface="Cambria Math" panose="02040503050406030204" pitchFamily="18" charset="0"/>
                                  <a:ea typeface="Cambria Math" panose="02040503050406030204" pitchFamily="18" charset="0"/>
                                </a:rPr>
                              </m:ctrlPr>
                            </m:dPr>
                            <m:e>
                              <m:r>
                                <a:rPr lang="en-US" sz="1200" b="0" i="1">
                                  <a:latin typeface="Cambria Math" panose="02040503050406030204" pitchFamily="18" charset="0"/>
                                  <a:ea typeface="Cambria Math" panose="02040503050406030204" pitchFamily="18" charset="0"/>
                                </a:rPr>
                                <m:t>1+</m:t>
                              </m:r>
                              <m:r>
                                <a:rPr lang="en-US" sz="1200" b="0" i="1">
                                  <a:latin typeface="Cambria Math" panose="02040503050406030204" pitchFamily="18" charset="0"/>
                                  <a:ea typeface="Cambria Math" panose="02040503050406030204" pitchFamily="18" charset="0"/>
                                </a:rPr>
                                <m:t>𝐼𝑅𝑅</m:t>
                              </m:r>
                            </m:e>
                          </m:d>
                        </m:e>
                        <m:sup>
                          <m:f>
                            <m:fPr>
                              <m:ctrlPr>
                                <a:rPr lang="en-US" sz="1100" b="0" i="1">
                                  <a:solidFill>
                                    <a:schemeClr val="tx1"/>
                                  </a:solidFill>
                                  <a:effectLst/>
                                  <a:latin typeface="Cambria Math" panose="02040503050406030204" pitchFamily="18" charset="0"/>
                                  <a:ea typeface="+mn-ea"/>
                                  <a:cs typeface="+mn-cs"/>
                                </a:rPr>
                              </m:ctrlPr>
                            </m:fPr>
                            <m:num>
                              <m:sSub>
                                <m:sSubPr>
                                  <m:ctrlPr>
                                    <a:rPr lang="en-US" sz="1100" b="0" i="1">
                                      <a:solidFill>
                                        <a:schemeClr val="tx1"/>
                                      </a:solidFill>
                                      <a:effectLst/>
                                      <a:latin typeface="Cambria Math" panose="02040503050406030204" pitchFamily="18" charset="0"/>
                                      <a:ea typeface="+mn-ea"/>
                                      <a:cs typeface="+mn-cs"/>
                                    </a:rPr>
                                  </m:ctrlPr>
                                </m:sSubPr>
                                <m:e>
                                  <m:r>
                                    <a:rPr lang="en-US" sz="1100" b="0" i="1">
                                      <a:solidFill>
                                        <a:schemeClr val="tx1"/>
                                      </a:solidFill>
                                      <a:effectLst/>
                                      <a:latin typeface="Cambria Math" panose="02040503050406030204" pitchFamily="18" charset="0"/>
                                      <a:ea typeface="+mn-ea"/>
                                      <a:cs typeface="+mn-cs"/>
                                    </a:rPr>
                                    <m:t>𝑡</m:t>
                                  </m:r>
                                </m:e>
                                <m:sub>
                                  <m:r>
                                    <a:rPr lang="en-US" sz="1100" b="0" i="1">
                                      <a:solidFill>
                                        <a:schemeClr val="tx1"/>
                                      </a:solidFill>
                                      <a:effectLst/>
                                      <a:latin typeface="Cambria Math" panose="02040503050406030204" pitchFamily="18" charset="0"/>
                                      <a:ea typeface="+mn-ea"/>
                                      <a:cs typeface="+mn-cs"/>
                                    </a:rPr>
                                    <m:t>1</m:t>
                                  </m:r>
                                </m:sub>
                              </m:sSub>
                            </m:num>
                            <m:den>
                              <m:r>
                                <a:rPr lang="en-US" sz="1100" b="0" i="1">
                                  <a:solidFill>
                                    <a:schemeClr val="tx1"/>
                                  </a:solidFill>
                                  <a:effectLst/>
                                  <a:latin typeface="Cambria Math" panose="02040503050406030204" pitchFamily="18" charset="0"/>
                                  <a:ea typeface="+mn-ea"/>
                                  <a:cs typeface="+mn-cs"/>
                                </a:rPr>
                                <m:t>365</m:t>
                              </m:r>
                            </m:den>
                          </m:f>
                        </m:sup>
                      </m:sSup>
                    </m:den>
                  </m:f>
                </m:oMath>
              </a14:m>
              <a:r>
                <a:rPr lang="en-US" sz="1200">
                  <a:latin typeface="Cambria Math" panose="02040503050406030204" pitchFamily="18" charset="0"/>
                  <a:ea typeface="Cambria Math" panose="02040503050406030204" pitchFamily="18" charset="0"/>
                  <a:cs typeface="Times New Roman" panose="02020603050405020304" pitchFamily="18" charset="0"/>
                </a:rPr>
                <a:t>+ </a:t>
              </a:r>
              <a14:m>
                <m:oMath xmlns:m="http://schemas.openxmlformats.org/officeDocument/2006/math">
                  <m:f>
                    <m:fPr>
                      <m:ctrlPr>
                        <a:rPr lang="en-US" sz="1200" b="0" i="1">
                          <a:solidFill>
                            <a:schemeClr val="tx1"/>
                          </a:solidFill>
                          <a:effectLst/>
                          <a:latin typeface="Cambria Math" panose="02040503050406030204" pitchFamily="18" charset="0"/>
                          <a:ea typeface="Cambria Math" panose="02040503050406030204" pitchFamily="18" charset="0"/>
                          <a:cs typeface="+mn-cs"/>
                        </a:rPr>
                      </m:ctrlPr>
                    </m:fPr>
                    <m:num>
                      <m:r>
                        <a:rPr lang="en-US" sz="1200" b="0" i="1">
                          <a:solidFill>
                            <a:schemeClr val="tx1"/>
                          </a:solidFill>
                          <a:effectLst/>
                          <a:latin typeface="Cambria Math" panose="02040503050406030204" pitchFamily="18" charset="0"/>
                          <a:ea typeface="Cambria Math" panose="02040503050406030204" pitchFamily="18" charset="0"/>
                          <a:cs typeface="+mn-cs"/>
                        </a:rPr>
                        <m:t>879</m:t>
                      </m:r>
                    </m:num>
                    <m:den>
                      <m:sSup>
                        <m:sSupPr>
                          <m:ctrlPr>
                            <a:rPr lang="en-US" sz="1200" b="0" i="1">
                              <a:solidFill>
                                <a:schemeClr val="tx1"/>
                              </a:solidFill>
                              <a:effectLst/>
                              <a:latin typeface="Cambria Math" panose="02040503050406030204" pitchFamily="18" charset="0"/>
                              <a:ea typeface="Cambria Math" panose="02040503050406030204" pitchFamily="18" charset="0"/>
                              <a:cs typeface="+mn-cs"/>
                            </a:rPr>
                          </m:ctrlPr>
                        </m:sSupPr>
                        <m:e>
                          <m:d>
                            <m:dPr>
                              <m:ctrlPr>
                                <a:rPr lang="en-US" sz="1200" b="0" i="1">
                                  <a:solidFill>
                                    <a:schemeClr val="tx1"/>
                                  </a:solidFill>
                                  <a:effectLst/>
                                  <a:latin typeface="Cambria Math" panose="02040503050406030204" pitchFamily="18" charset="0"/>
                                  <a:ea typeface="Cambria Math" panose="02040503050406030204" pitchFamily="18" charset="0"/>
                                  <a:cs typeface="+mn-cs"/>
                                </a:rPr>
                              </m:ctrlPr>
                            </m:dPr>
                            <m:e>
                              <m:r>
                                <a:rPr lang="en-US" sz="1200" b="0" i="1">
                                  <a:solidFill>
                                    <a:schemeClr val="tx1"/>
                                  </a:solidFill>
                                  <a:effectLst/>
                                  <a:latin typeface="Cambria Math" panose="02040503050406030204" pitchFamily="18" charset="0"/>
                                  <a:ea typeface="Cambria Math" panose="02040503050406030204" pitchFamily="18" charset="0"/>
                                  <a:cs typeface="+mn-cs"/>
                                </a:rPr>
                                <m:t>1+</m:t>
                              </m:r>
                              <m:r>
                                <a:rPr lang="en-US" sz="1200" b="0" i="1">
                                  <a:solidFill>
                                    <a:schemeClr val="tx1"/>
                                  </a:solidFill>
                                  <a:effectLst/>
                                  <a:latin typeface="Cambria Math" panose="02040503050406030204" pitchFamily="18" charset="0"/>
                                  <a:ea typeface="Cambria Math" panose="02040503050406030204" pitchFamily="18" charset="0"/>
                                  <a:cs typeface="+mn-cs"/>
                                </a:rPr>
                                <m:t>𝐼𝑅𝑅</m:t>
                              </m:r>
                            </m:e>
                          </m:d>
                        </m:e>
                        <m:sup>
                          <m:f>
                            <m:fPr>
                              <m:ctrlPr>
                                <a:rPr lang="en-US" sz="1100" b="0" i="1">
                                  <a:solidFill>
                                    <a:schemeClr val="tx1"/>
                                  </a:solidFill>
                                  <a:effectLst/>
                                  <a:latin typeface="Cambria Math" panose="02040503050406030204" pitchFamily="18" charset="0"/>
                                  <a:ea typeface="+mn-ea"/>
                                  <a:cs typeface="+mn-cs"/>
                                </a:rPr>
                              </m:ctrlPr>
                            </m:fPr>
                            <m:num>
                              <m:sSub>
                                <m:sSubPr>
                                  <m:ctrlPr>
                                    <a:rPr lang="en-US" sz="1100" b="0" i="1">
                                      <a:solidFill>
                                        <a:schemeClr val="tx1"/>
                                      </a:solidFill>
                                      <a:effectLst/>
                                      <a:latin typeface="Cambria Math" panose="02040503050406030204" pitchFamily="18" charset="0"/>
                                      <a:ea typeface="+mn-ea"/>
                                      <a:cs typeface="+mn-cs"/>
                                    </a:rPr>
                                  </m:ctrlPr>
                                </m:sSubPr>
                                <m:e>
                                  <m:r>
                                    <a:rPr lang="en-US" sz="1100" b="0" i="1">
                                      <a:solidFill>
                                        <a:schemeClr val="tx1"/>
                                      </a:solidFill>
                                      <a:effectLst/>
                                      <a:latin typeface="Cambria Math" panose="02040503050406030204" pitchFamily="18" charset="0"/>
                                      <a:ea typeface="+mn-ea"/>
                                      <a:cs typeface="+mn-cs"/>
                                    </a:rPr>
                                    <m:t>𝑡</m:t>
                                  </m:r>
                                </m:e>
                                <m:sub>
                                  <m:r>
                                    <a:rPr lang="en-US" sz="1100" b="0" i="1">
                                      <a:solidFill>
                                        <a:schemeClr val="tx1"/>
                                      </a:solidFill>
                                      <a:effectLst/>
                                      <a:latin typeface="Cambria Math" panose="02040503050406030204" pitchFamily="18" charset="0"/>
                                      <a:ea typeface="+mn-ea"/>
                                      <a:cs typeface="+mn-cs"/>
                                    </a:rPr>
                                    <m:t>2</m:t>
                                  </m:r>
                                </m:sub>
                              </m:sSub>
                            </m:num>
                            <m:den>
                              <m:r>
                                <a:rPr lang="en-US" sz="1100" b="0" i="1">
                                  <a:solidFill>
                                    <a:schemeClr val="tx1"/>
                                  </a:solidFill>
                                  <a:effectLst/>
                                  <a:latin typeface="Cambria Math" panose="02040503050406030204" pitchFamily="18" charset="0"/>
                                  <a:ea typeface="+mn-ea"/>
                                  <a:cs typeface="+mn-cs"/>
                                </a:rPr>
                                <m:t>365</m:t>
                              </m:r>
                            </m:den>
                          </m:f>
                        </m:sup>
                      </m:sSup>
                    </m:den>
                  </m:f>
                  <m:r>
                    <a:rPr lang="en-US" sz="1200" b="0" i="1">
                      <a:solidFill>
                        <a:schemeClr val="tx1"/>
                      </a:solidFill>
                      <a:effectLst/>
                      <a:latin typeface="Cambria Math" panose="02040503050406030204" pitchFamily="18" charset="0"/>
                      <a:ea typeface="Cambria Math" panose="02040503050406030204" pitchFamily="18" charset="0"/>
                      <a:cs typeface="+mn-cs"/>
                    </a:rPr>
                    <m:t>+</m:t>
                  </m:r>
                  <m:f>
                    <m:fPr>
                      <m:ctrlPr>
                        <a:rPr lang="en-US" sz="1200" b="0" i="1">
                          <a:solidFill>
                            <a:schemeClr val="tx1"/>
                          </a:solidFill>
                          <a:effectLst/>
                          <a:latin typeface="Cambria Math" panose="02040503050406030204" pitchFamily="18" charset="0"/>
                          <a:ea typeface="Cambria Math" panose="02040503050406030204" pitchFamily="18" charset="0"/>
                          <a:cs typeface="+mn-cs"/>
                        </a:rPr>
                      </m:ctrlPr>
                    </m:fPr>
                    <m:num>
                      <m:r>
                        <a:rPr lang="en-US" sz="1200" b="0" i="1">
                          <a:solidFill>
                            <a:schemeClr val="tx1"/>
                          </a:solidFill>
                          <a:effectLst/>
                          <a:latin typeface="Cambria Math" panose="02040503050406030204" pitchFamily="18" charset="0"/>
                          <a:ea typeface="Cambria Math" panose="02040503050406030204" pitchFamily="18" charset="0"/>
                          <a:cs typeface="+mn-cs"/>
                        </a:rPr>
                        <m:t>879</m:t>
                      </m:r>
                    </m:num>
                    <m:den>
                      <m:sSup>
                        <m:sSupPr>
                          <m:ctrlPr>
                            <a:rPr lang="en-US" sz="1200" b="0" i="1">
                              <a:solidFill>
                                <a:schemeClr val="tx1"/>
                              </a:solidFill>
                              <a:effectLst/>
                              <a:latin typeface="Cambria Math" panose="02040503050406030204" pitchFamily="18" charset="0"/>
                              <a:ea typeface="Cambria Math" panose="02040503050406030204" pitchFamily="18" charset="0"/>
                              <a:cs typeface="+mn-cs"/>
                            </a:rPr>
                          </m:ctrlPr>
                        </m:sSupPr>
                        <m:e>
                          <m:d>
                            <m:dPr>
                              <m:ctrlPr>
                                <a:rPr lang="en-US" sz="1200" b="0" i="1">
                                  <a:solidFill>
                                    <a:schemeClr val="tx1"/>
                                  </a:solidFill>
                                  <a:effectLst/>
                                  <a:latin typeface="Cambria Math" panose="02040503050406030204" pitchFamily="18" charset="0"/>
                                  <a:ea typeface="Cambria Math" panose="02040503050406030204" pitchFamily="18" charset="0"/>
                                  <a:cs typeface="+mn-cs"/>
                                </a:rPr>
                              </m:ctrlPr>
                            </m:dPr>
                            <m:e>
                              <m:r>
                                <a:rPr lang="en-US" sz="1200" b="0" i="1">
                                  <a:solidFill>
                                    <a:schemeClr val="tx1"/>
                                  </a:solidFill>
                                  <a:effectLst/>
                                  <a:latin typeface="Cambria Math" panose="02040503050406030204" pitchFamily="18" charset="0"/>
                                  <a:ea typeface="Cambria Math" panose="02040503050406030204" pitchFamily="18" charset="0"/>
                                  <a:cs typeface="+mn-cs"/>
                                </a:rPr>
                                <m:t>1+</m:t>
                              </m:r>
                              <m:r>
                                <a:rPr lang="en-US" sz="1200" b="0" i="1">
                                  <a:solidFill>
                                    <a:schemeClr val="tx1"/>
                                  </a:solidFill>
                                  <a:effectLst/>
                                  <a:latin typeface="Cambria Math" panose="02040503050406030204" pitchFamily="18" charset="0"/>
                                  <a:ea typeface="Cambria Math" panose="02040503050406030204" pitchFamily="18" charset="0"/>
                                  <a:cs typeface="+mn-cs"/>
                                </a:rPr>
                                <m:t>𝐼𝑅𝑅</m:t>
                              </m:r>
                            </m:e>
                          </m:d>
                        </m:e>
                        <m:sup>
                          <m:f>
                            <m:fPr>
                              <m:ctrlPr>
                                <a:rPr lang="en-US" sz="1100" b="0" i="1">
                                  <a:solidFill>
                                    <a:schemeClr val="tx1"/>
                                  </a:solidFill>
                                  <a:effectLst/>
                                  <a:latin typeface="Cambria Math" panose="02040503050406030204" pitchFamily="18" charset="0"/>
                                  <a:ea typeface="+mn-ea"/>
                                  <a:cs typeface="+mn-cs"/>
                                </a:rPr>
                              </m:ctrlPr>
                            </m:fPr>
                            <m:num>
                              <m:sSub>
                                <m:sSubPr>
                                  <m:ctrlPr>
                                    <a:rPr lang="en-US" sz="1100" b="0" i="1">
                                      <a:solidFill>
                                        <a:schemeClr val="tx1"/>
                                      </a:solidFill>
                                      <a:effectLst/>
                                      <a:latin typeface="Cambria Math" panose="02040503050406030204" pitchFamily="18" charset="0"/>
                                      <a:ea typeface="+mn-ea"/>
                                      <a:cs typeface="+mn-cs"/>
                                    </a:rPr>
                                  </m:ctrlPr>
                                </m:sSubPr>
                                <m:e>
                                  <m:r>
                                    <a:rPr lang="en-US" sz="1100" b="0" i="1">
                                      <a:solidFill>
                                        <a:schemeClr val="tx1"/>
                                      </a:solidFill>
                                      <a:effectLst/>
                                      <a:latin typeface="Cambria Math" panose="02040503050406030204" pitchFamily="18" charset="0"/>
                                      <a:ea typeface="+mn-ea"/>
                                      <a:cs typeface="+mn-cs"/>
                                    </a:rPr>
                                    <m:t>𝑡</m:t>
                                  </m:r>
                                </m:e>
                                <m:sub>
                                  <m:r>
                                    <a:rPr lang="en-US" sz="1100" b="0" i="1">
                                      <a:solidFill>
                                        <a:schemeClr val="tx1"/>
                                      </a:solidFill>
                                      <a:effectLst/>
                                      <a:latin typeface="Cambria Math" panose="02040503050406030204" pitchFamily="18" charset="0"/>
                                      <a:ea typeface="+mn-ea"/>
                                      <a:cs typeface="+mn-cs"/>
                                    </a:rPr>
                                    <m:t>3</m:t>
                                  </m:r>
                                </m:sub>
                              </m:sSub>
                            </m:num>
                            <m:den>
                              <m:r>
                                <a:rPr lang="en-US" sz="1100" b="0" i="1">
                                  <a:solidFill>
                                    <a:schemeClr val="tx1"/>
                                  </a:solidFill>
                                  <a:effectLst/>
                                  <a:latin typeface="Cambria Math" panose="02040503050406030204" pitchFamily="18" charset="0"/>
                                  <a:ea typeface="+mn-ea"/>
                                  <a:cs typeface="+mn-cs"/>
                                </a:rPr>
                                <m:t>365</m:t>
                              </m:r>
                            </m:den>
                          </m:f>
                        </m:sup>
                      </m:sSup>
                    </m:den>
                  </m:f>
                </m:oMath>
              </a14:m>
              <a:r>
                <a:rPr lang="en-US" sz="1200">
                  <a:latin typeface="Cambria Math" panose="02040503050406030204" pitchFamily="18" charset="0"/>
                  <a:ea typeface="Cambria Math" panose="02040503050406030204" pitchFamily="18" charset="0"/>
                  <a:cs typeface="Times New Roman" panose="02020603050405020304" pitchFamily="18" charset="0"/>
                </a:rPr>
                <a:t>+ ..... + </a:t>
              </a:r>
              <a14:m>
                <m:oMath xmlns:m="http://schemas.openxmlformats.org/officeDocument/2006/math">
                  <m:f>
                    <m:fPr>
                      <m:ctrlPr>
                        <a:rPr lang="en-US" sz="1200" b="0" i="1">
                          <a:solidFill>
                            <a:schemeClr val="tx1"/>
                          </a:solidFill>
                          <a:effectLst/>
                          <a:latin typeface="Cambria Math" panose="02040503050406030204" pitchFamily="18" charset="0"/>
                          <a:ea typeface="Cambria Math" panose="02040503050406030204" pitchFamily="18" charset="0"/>
                          <a:cs typeface="+mn-cs"/>
                        </a:rPr>
                      </m:ctrlPr>
                    </m:fPr>
                    <m:num>
                      <m:r>
                        <a:rPr lang="en-US" sz="1200" b="0" i="1">
                          <a:solidFill>
                            <a:schemeClr val="tx1"/>
                          </a:solidFill>
                          <a:effectLst/>
                          <a:latin typeface="Cambria Math" panose="02040503050406030204" pitchFamily="18" charset="0"/>
                          <a:ea typeface="Cambria Math" panose="02040503050406030204" pitchFamily="18" charset="0"/>
                          <a:cs typeface="+mn-cs"/>
                        </a:rPr>
                        <m:t>904</m:t>
                      </m:r>
                    </m:num>
                    <m:den>
                      <m:sSup>
                        <m:sSupPr>
                          <m:ctrlPr>
                            <a:rPr lang="en-US" sz="1200" b="0" i="1">
                              <a:solidFill>
                                <a:schemeClr val="tx1"/>
                              </a:solidFill>
                              <a:effectLst/>
                              <a:latin typeface="Cambria Math" panose="02040503050406030204" pitchFamily="18" charset="0"/>
                              <a:ea typeface="Cambria Math" panose="02040503050406030204" pitchFamily="18" charset="0"/>
                              <a:cs typeface="+mn-cs"/>
                            </a:rPr>
                          </m:ctrlPr>
                        </m:sSupPr>
                        <m:e>
                          <m:d>
                            <m:dPr>
                              <m:ctrlPr>
                                <a:rPr lang="en-US" sz="1200" b="0" i="1">
                                  <a:solidFill>
                                    <a:schemeClr val="tx1"/>
                                  </a:solidFill>
                                  <a:effectLst/>
                                  <a:latin typeface="Cambria Math" panose="02040503050406030204" pitchFamily="18" charset="0"/>
                                  <a:ea typeface="Cambria Math" panose="02040503050406030204" pitchFamily="18" charset="0"/>
                                  <a:cs typeface="+mn-cs"/>
                                </a:rPr>
                              </m:ctrlPr>
                            </m:dPr>
                            <m:e>
                              <m:r>
                                <a:rPr lang="en-US" sz="1200" b="0" i="1">
                                  <a:solidFill>
                                    <a:schemeClr val="tx1"/>
                                  </a:solidFill>
                                  <a:effectLst/>
                                  <a:latin typeface="Cambria Math" panose="02040503050406030204" pitchFamily="18" charset="0"/>
                                  <a:ea typeface="Cambria Math" panose="02040503050406030204" pitchFamily="18" charset="0"/>
                                  <a:cs typeface="+mn-cs"/>
                                </a:rPr>
                                <m:t>1+</m:t>
                              </m:r>
                              <m:r>
                                <a:rPr lang="en-US" sz="1200" b="0" i="1">
                                  <a:solidFill>
                                    <a:schemeClr val="tx1"/>
                                  </a:solidFill>
                                  <a:effectLst/>
                                  <a:latin typeface="Cambria Math" panose="02040503050406030204" pitchFamily="18" charset="0"/>
                                  <a:ea typeface="Cambria Math" panose="02040503050406030204" pitchFamily="18" charset="0"/>
                                  <a:cs typeface="+mn-cs"/>
                                </a:rPr>
                                <m:t>𝐼𝑅𝑅</m:t>
                              </m:r>
                            </m:e>
                          </m:d>
                        </m:e>
                        <m:sup>
                          <m:f>
                            <m:fPr>
                              <m:ctrlPr>
                                <a:rPr lang="en-US" sz="1100" b="0" i="1">
                                  <a:solidFill>
                                    <a:schemeClr val="tx1"/>
                                  </a:solidFill>
                                  <a:effectLst/>
                                  <a:latin typeface="Cambria Math" panose="02040503050406030204" pitchFamily="18" charset="0"/>
                                  <a:ea typeface="+mn-ea"/>
                                  <a:cs typeface="+mn-cs"/>
                                </a:rPr>
                              </m:ctrlPr>
                            </m:fPr>
                            <m:num>
                              <m:sSub>
                                <m:sSubPr>
                                  <m:ctrlPr>
                                    <a:rPr lang="en-US" sz="1100" b="0" i="1">
                                      <a:solidFill>
                                        <a:schemeClr val="tx1"/>
                                      </a:solidFill>
                                      <a:effectLst/>
                                      <a:latin typeface="Cambria Math" panose="02040503050406030204" pitchFamily="18" charset="0"/>
                                      <a:ea typeface="+mn-ea"/>
                                      <a:cs typeface="+mn-cs"/>
                                    </a:rPr>
                                  </m:ctrlPr>
                                </m:sSubPr>
                                <m:e>
                                  <m:r>
                                    <a:rPr lang="en-US" sz="1100" b="0" i="1">
                                      <a:solidFill>
                                        <a:schemeClr val="tx1"/>
                                      </a:solidFill>
                                      <a:effectLst/>
                                      <a:latin typeface="Cambria Math" panose="02040503050406030204" pitchFamily="18" charset="0"/>
                                      <a:ea typeface="+mn-ea"/>
                                      <a:cs typeface="+mn-cs"/>
                                    </a:rPr>
                                    <m:t>𝑡</m:t>
                                  </m:r>
                                </m:e>
                                <m:sub>
                                  <m:r>
                                    <a:rPr lang="en-US" sz="1100" b="0" i="1">
                                      <a:solidFill>
                                        <a:schemeClr val="tx1"/>
                                      </a:solidFill>
                                      <a:effectLst/>
                                      <a:latin typeface="Cambria Math" panose="02040503050406030204" pitchFamily="18" charset="0"/>
                                      <a:ea typeface="+mn-ea"/>
                                      <a:cs typeface="+mn-cs"/>
                                    </a:rPr>
                                    <m:t>𝑛</m:t>
                                  </m:r>
                                </m:sub>
                              </m:sSub>
                            </m:num>
                            <m:den>
                              <m:r>
                                <a:rPr lang="en-US" sz="1100" b="0" i="1">
                                  <a:solidFill>
                                    <a:schemeClr val="tx1"/>
                                  </a:solidFill>
                                  <a:effectLst/>
                                  <a:latin typeface="Cambria Math" panose="02040503050406030204" pitchFamily="18" charset="0"/>
                                  <a:ea typeface="+mn-ea"/>
                                  <a:cs typeface="+mn-cs"/>
                                </a:rPr>
                                <m:t>365</m:t>
                              </m:r>
                            </m:den>
                          </m:f>
                        </m:sup>
                      </m:sSup>
                    </m:den>
                  </m:f>
                </m:oMath>
              </a14:m>
              <a:endParaRPr lang="en-US" sz="1200">
                <a:latin typeface="Cambria Math" panose="02040503050406030204" pitchFamily="18" charset="0"/>
                <a:ea typeface="Cambria Math" panose="02040503050406030204" pitchFamily="18" charset="0"/>
                <a:cs typeface="Times New Roman" panose="02020603050405020304" pitchFamily="18" charset="0"/>
              </a:endParaRPr>
            </a:p>
          </xdr:txBody>
        </xdr:sp>
      </mc:Choice>
      <mc:Fallback xmlns="">
        <xdr:sp macro="" textlink="">
          <xdr:nvSpPr>
            <xdr:cNvPr id="5" name="TextBox 4">
              <a:extLst>
                <a:ext uri="{FF2B5EF4-FFF2-40B4-BE49-F238E27FC236}">
                  <a16:creationId xmlns:a16="http://schemas.microsoft.com/office/drawing/2014/main" id="{FE35443B-FB44-4946-8EF2-2D9E4AF92A2B}"/>
                </a:ext>
              </a:extLst>
            </xdr:cNvPr>
            <xdr:cNvSpPr txBox="1"/>
          </xdr:nvSpPr>
          <xdr:spPr>
            <a:xfrm>
              <a:off x="3302866" y="8374647"/>
              <a:ext cx="5742337" cy="34291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r>
                <a:rPr lang="en-US" sz="1200" b="0" i="0">
                  <a:latin typeface="Cambria Math" panose="02040503050406030204" pitchFamily="18" charset="0"/>
                  <a:ea typeface="Cambria Math" panose="02040503050406030204" pitchFamily="18" charset="0"/>
                </a:rPr>
                <a:t>((10,000) −115)=9</a:t>
              </a:r>
              <a:r>
                <a:rPr lang="en-US" sz="1200" b="0" i="0">
                  <a:solidFill>
                    <a:schemeClr val="tx1"/>
                  </a:solidFill>
                  <a:effectLst/>
                  <a:latin typeface="Cambria Math" panose="02040503050406030204" pitchFamily="18" charset="0"/>
                  <a:ea typeface="Cambria Math" panose="02040503050406030204" pitchFamily="18" charset="0"/>
                  <a:cs typeface="+mn-cs"/>
                </a:rPr>
                <a:t>,885 </a:t>
              </a:r>
              <a:r>
                <a:rPr lang="en-US" sz="1200" b="0" i="0">
                  <a:latin typeface="Cambria Math" panose="02040503050406030204" pitchFamily="18" charset="0"/>
                  <a:ea typeface="Cambria Math" panose="02040503050406030204" pitchFamily="18" charset="0"/>
                </a:rPr>
                <a:t>=879/(1+𝐼𝑅𝑅)^(</a:t>
              </a:r>
              <a:r>
                <a:rPr lang="en-US" sz="1100" b="0" i="0">
                  <a:solidFill>
                    <a:schemeClr val="tx1"/>
                  </a:solidFill>
                  <a:effectLst/>
                  <a:latin typeface="+mn-lt"/>
                  <a:ea typeface="+mn-ea"/>
                  <a:cs typeface="+mn-cs"/>
                </a:rPr>
                <a:t>𝑡_1/365</a:t>
              </a:r>
              <a:r>
                <a:rPr lang="en-US" sz="1200" b="0" i="0">
                  <a:solidFill>
                    <a:schemeClr val="tx1"/>
                  </a:solidFill>
                  <a:effectLst/>
                  <a:latin typeface="Cambria Math" panose="02040503050406030204" pitchFamily="18" charset="0"/>
                  <a:ea typeface="Cambria Math" panose="02040503050406030204" pitchFamily="18" charset="0"/>
                  <a:cs typeface="+mn-cs"/>
                </a:rPr>
                <a:t>) </a:t>
              </a:r>
              <a:r>
                <a:rPr lang="en-US" sz="1200">
                  <a:latin typeface="Cambria Math" panose="02040503050406030204" pitchFamily="18" charset="0"/>
                  <a:ea typeface="Cambria Math" panose="02040503050406030204" pitchFamily="18" charset="0"/>
                  <a:cs typeface="Times New Roman" panose="02020603050405020304" pitchFamily="18" charset="0"/>
                </a:rPr>
                <a:t>+ </a:t>
              </a:r>
              <a:r>
                <a:rPr lang="en-US" sz="1200" b="0" i="0">
                  <a:solidFill>
                    <a:schemeClr val="tx1"/>
                  </a:solidFill>
                  <a:effectLst/>
                  <a:latin typeface="Cambria Math" panose="02040503050406030204" pitchFamily="18" charset="0"/>
                  <a:ea typeface="Cambria Math" panose="02040503050406030204" pitchFamily="18" charset="0"/>
                  <a:cs typeface="+mn-cs"/>
                </a:rPr>
                <a:t>879/(1+𝐼𝑅𝑅)^(</a:t>
              </a:r>
              <a:r>
                <a:rPr lang="en-US" sz="1100" b="0" i="0">
                  <a:solidFill>
                    <a:schemeClr val="tx1"/>
                  </a:solidFill>
                  <a:effectLst/>
                  <a:latin typeface="+mn-lt"/>
                  <a:ea typeface="+mn-ea"/>
                  <a:cs typeface="+mn-cs"/>
                </a:rPr>
                <a:t>𝑡_</a:t>
              </a:r>
              <a:r>
                <a:rPr lang="en-US" sz="1100" b="0" i="0">
                  <a:solidFill>
                    <a:schemeClr val="tx1"/>
                  </a:solidFill>
                  <a:effectLst/>
                  <a:latin typeface="Cambria Math" panose="02040503050406030204" pitchFamily="18" charset="0"/>
                  <a:ea typeface="+mn-ea"/>
                  <a:cs typeface="+mn-cs"/>
                </a:rPr>
                <a:t>2</a:t>
              </a:r>
              <a:r>
                <a:rPr lang="en-US" sz="1100" b="0" i="0">
                  <a:solidFill>
                    <a:schemeClr val="tx1"/>
                  </a:solidFill>
                  <a:effectLst/>
                  <a:latin typeface="+mn-lt"/>
                  <a:ea typeface="+mn-ea"/>
                  <a:cs typeface="+mn-cs"/>
                </a:rPr>
                <a:t>/365</a:t>
              </a:r>
              <a:r>
                <a:rPr lang="en-US" sz="1200" b="0" i="0">
                  <a:solidFill>
                    <a:schemeClr val="tx1"/>
                  </a:solidFill>
                  <a:effectLst/>
                  <a:latin typeface="Cambria Math" panose="02040503050406030204" pitchFamily="18" charset="0"/>
                  <a:ea typeface="Cambria Math" panose="02040503050406030204" pitchFamily="18" charset="0"/>
                  <a:cs typeface="+mn-cs"/>
                </a:rPr>
                <a:t>) +879/(1+𝐼𝑅𝑅)^(</a:t>
              </a:r>
              <a:r>
                <a:rPr lang="en-US" sz="1100" b="0" i="0">
                  <a:solidFill>
                    <a:schemeClr val="tx1"/>
                  </a:solidFill>
                  <a:effectLst/>
                  <a:latin typeface="+mn-lt"/>
                  <a:ea typeface="+mn-ea"/>
                  <a:cs typeface="+mn-cs"/>
                </a:rPr>
                <a:t>𝑡_</a:t>
              </a:r>
              <a:r>
                <a:rPr lang="en-US" sz="1100" b="0" i="0">
                  <a:solidFill>
                    <a:schemeClr val="tx1"/>
                  </a:solidFill>
                  <a:effectLst/>
                  <a:latin typeface="Cambria Math" panose="02040503050406030204" pitchFamily="18" charset="0"/>
                  <a:ea typeface="+mn-ea"/>
                  <a:cs typeface="+mn-cs"/>
                </a:rPr>
                <a:t>3</a:t>
              </a:r>
              <a:r>
                <a:rPr lang="en-US" sz="1100" b="0" i="0">
                  <a:solidFill>
                    <a:schemeClr val="tx1"/>
                  </a:solidFill>
                  <a:effectLst/>
                  <a:latin typeface="+mn-lt"/>
                  <a:ea typeface="+mn-ea"/>
                  <a:cs typeface="+mn-cs"/>
                </a:rPr>
                <a:t>/365</a:t>
              </a:r>
              <a:r>
                <a:rPr lang="en-US" sz="1200" b="0" i="0">
                  <a:solidFill>
                    <a:schemeClr val="tx1"/>
                  </a:solidFill>
                  <a:effectLst/>
                  <a:latin typeface="Cambria Math" panose="02040503050406030204" pitchFamily="18" charset="0"/>
                  <a:ea typeface="Cambria Math" panose="02040503050406030204" pitchFamily="18" charset="0"/>
                  <a:cs typeface="+mn-cs"/>
                </a:rPr>
                <a:t>) </a:t>
              </a:r>
              <a:r>
                <a:rPr lang="en-US" sz="1200">
                  <a:latin typeface="Cambria Math" panose="02040503050406030204" pitchFamily="18" charset="0"/>
                  <a:ea typeface="Cambria Math" panose="02040503050406030204" pitchFamily="18" charset="0"/>
                  <a:cs typeface="Times New Roman" panose="02020603050405020304" pitchFamily="18" charset="0"/>
                </a:rPr>
                <a:t>+ ..... + </a:t>
              </a:r>
              <a:r>
                <a:rPr lang="en-US" sz="1200" b="0" i="0">
                  <a:solidFill>
                    <a:schemeClr val="tx1"/>
                  </a:solidFill>
                  <a:effectLst/>
                  <a:latin typeface="Cambria Math" panose="02040503050406030204" pitchFamily="18" charset="0"/>
                  <a:ea typeface="Cambria Math" panose="02040503050406030204" pitchFamily="18" charset="0"/>
                  <a:cs typeface="+mn-cs"/>
                </a:rPr>
                <a:t>904/(1+𝐼𝑅𝑅)^(</a:t>
              </a:r>
              <a:r>
                <a:rPr lang="en-US" sz="1100" b="0" i="0">
                  <a:solidFill>
                    <a:schemeClr val="tx1"/>
                  </a:solidFill>
                  <a:effectLst/>
                  <a:latin typeface="+mn-lt"/>
                  <a:ea typeface="+mn-ea"/>
                  <a:cs typeface="+mn-cs"/>
                </a:rPr>
                <a:t>𝑡_</a:t>
              </a:r>
              <a:r>
                <a:rPr lang="en-US" sz="1100" b="0" i="0">
                  <a:solidFill>
                    <a:schemeClr val="tx1"/>
                  </a:solidFill>
                  <a:effectLst/>
                  <a:latin typeface="Cambria Math" panose="02040503050406030204" pitchFamily="18" charset="0"/>
                  <a:ea typeface="+mn-ea"/>
                  <a:cs typeface="+mn-cs"/>
                </a:rPr>
                <a:t>𝑛</a:t>
              </a:r>
              <a:r>
                <a:rPr lang="en-US" sz="1100" b="0" i="0">
                  <a:solidFill>
                    <a:schemeClr val="tx1"/>
                  </a:solidFill>
                  <a:effectLst/>
                  <a:latin typeface="+mn-lt"/>
                  <a:ea typeface="+mn-ea"/>
                  <a:cs typeface="+mn-cs"/>
                </a:rPr>
                <a:t>/365</a:t>
              </a:r>
              <a:r>
                <a:rPr lang="en-US" sz="1200" b="0" i="0">
                  <a:solidFill>
                    <a:schemeClr val="tx1"/>
                  </a:solidFill>
                  <a:effectLst/>
                  <a:latin typeface="Cambria Math" panose="02040503050406030204" pitchFamily="18" charset="0"/>
                  <a:ea typeface="Cambria Math" panose="02040503050406030204" pitchFamily="18" charset="0"/>
                  <a:cs typeface="+mn-cs"/>
                </a:rPr>
                <a:t>) </a:t>
              </a:r>
              <a:endParaRPr lang="en-US" sz="1200">
                <a:latin typeface="Cambria Math" panose="02040503050406030204" pitchFamily="18" charset="0"/>
                <a:ea typeface="Cambria Math" panose="02040503050406030204" pitchFamily="18" charset="0"/>
                <a:cs typeface="Times New Roman" panose="02020603050405020304" pitchFamily="18" charset="0"/>
              </a:endParaRPr>
            </a:p>
          </xdr:txBody>
        </xdr:sp>
      </mc:Fallback>
    </mc:AlternateContent>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39"/>
  <sheetViews>
    <sheetView showGridLines="0" showWhiteSpace="0" zoomScale="130" zoomScaleNormal="130" workbookViewId="0">
      <selection activeCell="C24" sqref="C24"/>
    </sheetView>
  </sheetViews>
  <sheetFormatPr defaultColWidth="0" defaultRowHeight="13.2" zeroHeight="1" x14ac:dyDescent="0.25"/>
  <cols>
    <col min="1" max="1" width="2.33203125" style="36" customWidth="1"/>
    <col min="2" max="2" width="9" style="36" customWidth="1"/>
    <col min="3" max="3" width="20.33203125" style="34" customWidth="1"/>
    <col min="4" max="4" width="79.33203125" style="36" customWidth="1"/>
    <col min="5" max="5" width="8.88671875" style="36" customWidth="1"/>
    <col min="6" max="6" width="3.6640625" style="36" customWidth="1"/>
    <col min="7" max="17" width="0" style="36" hidden="1" customWidth="1"/>
    <col min="18" max="16384" width="8.88671875" style="36" hidden="1"/>
  </cols>
  <sheetData>
    <row r="1" spans="2:12" ht="13.8" thickBot="1" x14ac:dyDescent="0.3"/>
    <row r="2" spans="2:12" ht="13.8" thickBot="1" x14ac:dyDescent="0.3">
      <c r="B2" s="39"/>
      <c r="C2" s="40"/>
      <c r="D2" s="41"/>
      <c r="E2" s="42"/>
    </row>
    <row r="3" spans="2:12" ht="13.8" thickBot="1" x14ac:dyDescent="0.3">
      <c r="B3" s="43"/>
      <c r="C3" s="183" t="s">
        <v>22</v>
      </c>
      <c r="D3" s="184"/>
      <c r="E3" s="44"/>
    </row>
    <row r="4" spans="2:12" x14ac:dyDescent="0.25">
      <c r="B4" s="43"/>
      <c r="C4" s="46"/>
      <c r="D4" s="46"/>
      <c r="E4" s="44"/>
      <c r="K4" s="91"/>
      <c r="L4" s="91"/>
    </row>
    <row r="5" spans="2:12" x14ac:dyDescent="0.25">
      <c r="B5" s="43"/>
      <c r="C5" s="45"/>
      <c r="D5" s="46"/>
      <c r="E5" s="44"/>
    </row>
    <row r="6" spans="2:12" x14ac:dyDescent="0.25">
      <c r="B6" s="43"/>
      <c r="C6" s="182" t="s">
        <v>74</v>
      </c>
      <c r="D6" s="182"/>
      <c r="E6" s="44"/>
    </row>
    <row r="7" spans="2:12" x14ac:dyDescent="0.25">
      <c r="B7" s="43"/>
      <c r="C7" s="37" t="s">
        <v>72</v>
      </c>
      <c r="D7" s="38" t="s">
        <v>27</v>
      </c>
      <c r="E7" s="44"/>
    </row>
    <row r="8" spans="2:12" ht="26.4" x14ac:dyDescent="0.25">
      <c r="B8" s="43"/>
      <c r="C8" s="94" t="s">
        <v>4</v>
      </c>
      <c r="D8" s="92" t="s">
        <v>70</v>
      </c>
      <c r="E8" s="44"/>
    </row>
    <row r="9" spans="2:12" ht="26.4" x14ac:dyDescent="0.25">
      <c r="B9" s="43"/>
      <c r="C9" s="94" t="s">
        <v>125</v>
      </c>
      <c r="D9" s="92" t="s">
        <v>126</v>
      </c>
      <c r="E9" s="44"/>
    </row>
    <row r="10" spans="2:12" x14ac:dyDescent="0.25">
      <c r="B10" s="43"/>
      <c r="C10" s="94" t="s">
        <v>5</v>
      </c>
      <c r="D10" s="92" t="s">
        <v>79</v>
      </c>
      <c r="E10" s="44"/>
    </row>
    <row r="11" spans="2:12" x14ac:dyDescent="0.25">
      <c r="B11" s="43"/>
      <c r="C11" s="94" t="s">
        <v>110</v>
      </c>
      <c r="D11" s="92" t="s">
        <v>112</v>
      </c>
      <c r="E11" s="44"/>
    </row>
    <row r="12" spans="2:12" ht="26.4" x14ac:dyDescent="0.25">
      <c r="B12" s="43"/>
      <c r="C12" s="94" t="s">
        <v>10</v>
      </c>
      <c r="D12" s="92" t="s">
        <v>80</v>
      </c>
      <c r="E12" s="44"/>
    </row>
    <row r="13" spans="2:12" ht="26.4" x14ac:dyDescent="0.25">
      <c r="B13" s="43"/>
      <c r="C13" s="94" t="s">
        <v>111</v>
      </c>
      <c r="D13" s="92" t="s">
        <v>113</v>
      </c>
      <c r="E13" s="44"/>
    </row>
    <row r="14" spans="2:12" x14ac:dyDescent="0.25">
      <c r="B14" s="43"/>
      <c r="C14" s="94" t="s">
        <v>6</v>
      </c>
      <c r="D14" s="92" t="s">
        <v>116</v>
      </c>
      <c r="E14" s="44"/>
    </row>
    <row r="15" spans="2:12" x14ac:dyDescent="0.25">
      <c r="B15" s="43"/>
      <c r="C15" s="94" t="s">
        <v>11</v>
      </c>
      <c r="D15" s="92" t="s">
        <v>71</v>
      </c>
      <c r="E15" s="44"/>
    </row>
    <row r="16" spans="2:12" x14ac:dyDescent="0.25">
      <c r="B16" s="43"/>
      <c r="C16" s="94" t="s">
        <v>15</v>
      </c>
      <c r="D16" s="92" t="s">
        <v>114</v>
      </c>
      <c r="E16" s="44"/>
    </row>
    <row r="17" spans="2:5" ht="26.4" x14ac:dyDescent="0.25">
      <c r="B17" s="43"/>
      <c r="C17" s="94" t="s">
        <v>16</v>
      </c>
      <c r="D17" s="92" t="s">
        <v>115</v>
      </c>
      <c r="E17" s="44"/>
    </row>
    <row r="18" spans="2:5" ht="52.8" x14ac:dyDescent="0.25">
      <c r="B18" s="43"/>
      <c r="C18" s="94" t="s">
        <v>32</v>
      </c>
      <c r="D18" s="93" t="s">
        <v>81</v>
      </c>
      <c r="E18" s="44"/>
    </row>
    <row r="19" spans="2:5" ht="39" customHeight="1" x14ac:dyDescent="0.25">
      <c r="B19" s="43"/>
      <c r="C19" s="94" t="s">
        <v>33</v>
      </c>
      <c r="D19" s="93" t="s">
        <v>82</v>
      </c>
      <c r="E19" s="44"/>
    </row>
    <row r="20" spans="2:5" ht="26.4" x14ac:dyDescent="0.25">
      <c r="B20" s="43"/>
      <c r="C20" s="94" t="s">
        <v>28</v>
      </c>
      <c r="D20" s="93" t="s">
        <v>83</v>
      </c>
      <c r="E20" s="44"/>
    </row>
    <row r="21" spans="2:5" x14ac:dyDescent="0.25">
      <c r="B21" s="43"/>
      <c r="C21" s="94" t="s">
        <v>29</v>
      </c>
      <c r="D21" s="93" t="s">
        <v>30</v>
      </c>
      <c r="E21" s="44"/>
    </row>
    <row r="22" spans="2:5" x14ac:dyDescent="0.25">
      <c r="B22" s="43"/>
      <c r="C22" s="94" t="s">
        <v>31</v>
      </c>
      <c r="D22" s="93" t="s">
        <v>85</v>
      </c>
      <c r="E22" s="44"/>
    </row>
    <row r="23" spans="2:5" ht="26.4" x14ac:dyDescent="0.25">
      <c r="B23" s="43"/>
      <c r="C23" s="94" t="s">
        <v>54</v>
      </c>
      <c r="D23" s="92" t="s">
        <v>73</v>
      </c>
      <c r="E23" s="44"/>
    </row>
    <row r="24" spans="2:5" ht="13.8" thickBot="1" x14ac:dyDescent="0.3">
      <c r="B24" s="47"/>
      <c r="C24" s="48"/>
      <c r="D24" s="48"/>
      <c r="E24" s="49"/>
    </row>
    <row r="25" spans="2:5" x14ac:dyDescent="0.25">
      <c r="C25" s="35"/>
      <c r="D25" s="35"/>
    </row>
    <row r="26" spans="2:5" hidden="1" x14ac:dyDescent="0.25">
      <c r="C26" s="35"/>
      <c r="D26" s="35"/>
    </row>
    <row r="27" spans="2:5" hidden="1" x14ac:dyDescent="0.25">
      <c r="C27" s="35"/>
      <c r="D27" s="35"/>
    </row>
    <row r="28" spans="2:5" hidden="1" x14ac:dyDescent="0.25">
      <c r="C28" s="35"/>
      <c r="D28" s="35"/>
    </row>
    <row r="29" spans="2:5" hidden="1" x14ac:dyDescent="0.25">
      <c r="C29" s="35"/>
      <c r="D29" s="35"/>
    </row>
    <row r="30" spans="2:5" hidden="1" x14ac:dyDescent="0.25">
      <c r="C30" s="35"/>
      <c r="D30" s="35"/>
    </row>
    <row r="31" spans="2:5" hidden="1" x14ac:dyDescent="0.25">
      <c r="C31" s="35"/>
    </row>
    <row r="32" spans="2:5" hidden="1" x14ac:dyDescent="0.25">
      <c r="C32" s="35"/>
    </row>
    <row r="33" spans="3:3" hidden="1" x14ac:dyDescent="0.25">
      <c r="C33" s="35"/>
    </row>
    <row r="34" spans="3:3" hidden="1" x14ac:dyDescent="0.25">
      <c r="C34" s="35"/>
    </row>
    <row r="35" spans="3:3" x14ac:dyDescent="0.25"/>
    <row r="36" spans="3:3" x14ac:dyDescent="0.25"/>
    <row r="37" spans="3:3" x14ac:dyDescent="0.25"/>
    <row r="38" spans="3:3" x14ac:dyDescent="0.25"/>
    <row r="39" spans="3:3" x14ac:dyDescent="0.25"/>
  </sheetData>
  <mergeCells count="2">
    <mergeCell ref="C6:D6"/>
    <mergeCell ref="C3:D3"/>
  </mergeCells>
  <pageMargins left="0.7" right="0.7" top="0.75" bottom="0.75" header="0.3" footer="0.3"/>
  <pageSetup orientation="portrait" r:id="rId1"/>
  <headerFooter>
    <oddHeader>&amp;C
&amp;G</oddHeader>
  </headerFooter>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CEE4CE"/>
  </sheetPr>
  <dimension ref="A2:S30"/>
  <sheetViews>
    <sheetView showGridLines="0" zoomScale="85" zoomScaleNormal="85" zoomScalePageLayoutView="89" workbookViewId="0">
      <selection activeCell="K29" sqref="K29"/>
    </sheetView>
  </sheetViews>
  <sheetFormatPr defaultColWidth="0" defaultRowHeight="13.95" customHeight="1" x14ac:dyDescent="0.2"/>
  <cols>
    <col min="1" max="1" width="2.6640625" style="1" customWidth="1"/>
    <col min="2" max="2" width="6.33203125" style="1" customWidth="1"/>
    <col min="3" max="3" width="4.33203125" style="1" customWidth="1"/>
    <col min="4" max="4" width="27.109375" style="1" bestFit="1" customWidth="1"/>
    <col min="5" max="5" width="24.44140625" style="1" customWidth="1"/>
    <col min="6" max="6" width="12.44140625" style="1" customWidth="1"/>
    <col min="7" max="7" width="25.109375" style="1" bestFit="1" customWidth="1"/>
    <col min="8" max="9" width="21.88671875" style="1" customWidth="1"/>
    <col min="10" max="10" width="18.44140625" style="1" customWidth="1"/>
    <col min="11" max="11" width="17.44140625" style="1" customWidth="1"/>
    <col min="12" max="13" width="18.5546875" style="30" bestFit="1" customWidth="1"/>
    <col min="14" max="14" width="3.6640625" style="1" customWidth="1"/>
    <col min="15" max="16" width="4" style="1" customWidth="1"/>
    <col min="17" max="17" width="0" style="1" hidden="1" customWidth="1"/>
    <col min="18" max="16384" width="8.88671875" style="1" hidden="1"/>
  </cols>
  <sheetData>
    <row r="2" spans="2:19" ht="13.95" customHeight="1" x14ac:dyDescent="0.2">
      <c r="B2" s="64" t="s">
        <v>42</v>
      </c>
      <c r="J2" s="64" t="s">
        <v>43</v>
      </c>
      <c r="L2" s="1"/>
    </row>
    <row r="3" spans="2:19" ht="18" customHeight="1" x14ac:dyDescent="0.2">
      <c r="B3" s="195" t="s">
        <v>137</v>
      </c>
      <c r="C3" s="195"/>
      <c r="D3" s="195"/>
      <c r="E3" s="195"/>
      <c r="F3" s="195"/>
      <c r="G3" s="195"/>
      <c r="H3" s="195"/>
      <c r="J3" s="125"/>
      <c r="K3" s="185" t="s">
        <v>44</v>
      </c>
      <c r="L3" s="185"/>
      <c r="M3" s="185"/>
      <c r="N3" s="185"/>
    </row>
    <row r="4" spans="2:19" ht="18" customHeight="1" x14ac:dyDescent="0.2">
      <c r="B4" s="195"/>
      <c r="C4" s="195"/>
      <c r="D4" s="195"/>
      <c r="E4" s="195"/>
      <c r="F4" s="195"/>
      <c r="G4" s="195"/>
      <c r="H4" s="195"/>
      <c r="J4" s="54"/>
      <c r="K4" s="185" t="s">
        <v>50</v>
      </c>
      <c r="L4" s="185"/>
      <c r="M4" s="185"/>
      <c r="N4" s="185"/>
    </row>
    <row r="5" spans="2:19" ht="18" customHeight="1" x14ac:dyDescent="0.2">
      <c r="B5" s="195"/>
      <c r="C5" s="195"/>
      <c r="D5" s="195"/>
      <c r="E5" s="195"/>
      <c r="F5" s="195"/>
      <c r="G5" s="195"/>
      <c r="H5" s="195"/>
      <c r="J5" s="3"/>
      <c r="K5" s="185" t="s">
        <v>51</v>
      </c>
      <c r="L5" s="185"/>
      <c r="M5" s="185"/>
      <c r="N5" s="185"/>
    </row>
    <row r="6" spans="2:19" ht="18" customHeight="1" x14ac:dyDescent="0.2">
      <c r="B6" s="195"/>
      <c r="C6" s="195"/>
      <c r="D6" s="195"/>
      <c r="E6" s="195"/>
      <c r="F6" s="195"/>
      <c r="G6" s="195"/>
      <c r="H6" s="195"/>
      <c r="J6" s="55"/>
      <c r="K6" s="185" t="s">
        <v>45</v>
      </c>
      <c r="L6" s="185"/>
      <c r="M6" s="185"/>
      <c r="N6" s="185"/>
      <c r="Q6" s="126"/>
      <c r="R6" s="126"/>
      <c r="S6" s="126"/>
    </row>
    <row r="7" spans="2:19" ht="18" customHeight="1" x14ac:dyDescent="0.2">
      <c r="B7" s="195"/>
      <c r="C7" s="195"/>
      <c r="D7" s="195"/>
      <c r="E7" s="195"/>
      <c r="F7" s="195"/>
      <c r="G7" s="195"/>
      <c r="H7" s="195"/>
      <c r="J7" s="56"/>
      <c r="K7" s="185" t="s">
        <v>46</v>
      </c>
      <c r="L7" s="185"/>
      <c r="M7" s="185"/>
      <c r="N7" s="185"/>
    </row>
    <row r="8" spans="2:19" ht="18" customHeight="1" x14ac:dyDescent="0.2">
      <c r="B8" s="195"/>
      <c r="C8" s="195"/>
      <c r="D8" s="195"/>
      <c r="E8" s="195"/>
      <c r="F8" s="195"/>
      <c r="G8" s="195"/>
      <c r="H8" s="195"/>
      <c r="J8" s="57"/>
      <c r="K8" s="185" t="s">
        <v>47</v>
      </c>
      <c r="L8" s="185"/>
      <c r="M8" s="185"/>
      <c r="N8" s="185"/>
    </row>
    <row r="9" spans="2:19" ht="18" customHeight="1" x14ac:dyDescent="0.2">
      <c r="B9" s="195"/>
      <c r="C9" s="195"/>
      <c r="D9" s="195"/>
      <c r="E9" s="195"/>
      <c r="F9" s="195"/>
      <c r="G9" s="195"/>
      <c r="H9" s="195"/>
      <c r="J9" s="63"/>
      <c r="K9" s="185" t="s">
        <v>49</v>
      </c>
      <c r="L9" s="185"/>
      <c r="M9" s="185"/>
      <c r="N9" s="185"/>
    </row>
    <row r="10" spans="2:19" ht="18" customHeight="1" x14ac:dyDescent="0.2">
      <c r="B10" s="195"/>
      <c r="C10" s="195"/>
      <c r="D10" s="195"/>
      <c r="E10" s="195"/>
      <c r="F10" s="195"/>
      <c r="G10" s="195"/>
      <c r="H10" s="195"/>
      <c r="J10" s="58"/>
      <c r="K10" s="185" t="s">
        <v>106</v>
      </c>
      <c r="L10" s="185"/>
      <c r="M10" s="185"/>
      <c r="N10" s="185"/>
    </row>
    <row r="11" spans="2:19" ht="18" customHeight="1" x14ac:dyDescent="0.2">
      <c r="B11" s="195"/>
      <c r="C11" s="195"/>
      <c r="D11" s="195"/>
      <c r="E11" s="195"/>
      <c r="F11" s="195"/>
      <c r="G11" s="195"/>
      <c r="H11" s="195"/>
      <c r="L11" s="1"/>
    </row>
    <row r="12" spans="2:19" ht="7.95" customHeight="1" thickBot="1" x14ac:dyDescent="0.25"/>
    <row r="13" spans="2:19" ht="13.95" customHeight="1" x14ac:dyDescent="0.2">
      <c r="B13" s="18"/>
      <c r="C13" s="19"/>
      <c r="D13" s="19"/>
      <c r="E13" s="19"/>
      <c r="F13" s="19"/>
      <c r="G13" s="19"/>
      <c r="H13" s="19"/>
      <c r="I13" s="19"/>
      <c r="J13" s="19"/>
      <c r="K13" s="19"/>
      <c r="L13" s="31"/>
      <c r="M13" s="31"/>
      <c r="N13" s="20"/>
    </row>
    <row r="14" spans="2:19" ht="13.95" customHeight="1" x14ac:dyDescent="0.2">
      <c r="B14" s="21"/>
      <c r="C14" s="224" t="s">
        <v>20</v>
      </c>
      <c r="D14" s="224"/>
      <c r="E14" s="224"/>
      <c r="F14" s="224"/>
      <c r="G14" s="224"/>
      <c r="H14" s="224"/>
      <c r="I14" s="224"/>
      <c r="J14" s="224"/>
      <c r="K14" s="224"/>
      <c r="L14" s="224"/>
      <c r="M14" s="224"/>
      <c r="N14" s="22"/>
    </row>
    <row r="15" spans="2:19" ht="13.95" customHeight="1" x14ac:dyDescent="0.2">
      <c r="B15" s="21"/>
      <c r="N15" s="22"/>
    </row>
    <row r="16" spans="2:19" ht="40.200000000000003" customHeight="1" x14ac:dyDescent="0.2">
      <c r="B16" s="21"/>
      <c r="D16" s="190" t="s">
        <v>0</v>
      </c>
      <c r="E16" s="191"/>
      <c r="F16" s="127"/>
      <c r="G16" s="28" t="s">
        <v>84</v>
      </c>
      <c r="H16" s="28" t="s">
        <v>13</v>
      </c>
      <c r="I16" s="29" t="s">
        <v>25</v>
      </c>
      <c r="J16" s="29" t="s">
        <v>99</v>
      </c>
      <c r="K16" s="127"/>
      <c r="L16" s="28" t="s">
        <v>7</v>
      </c>
      <c r="N16" s="22"/>
    </row>
    <row r="17" spans="2:15" ht="13.95" customHeight="1" x14ac:dyDescent="0.2">
      <c r="B17" s="21"/>
      <c r="D17" s="3" t="s">
        <v>127</v>
      </c>
      <c r="E17" s="69">
        <v>300000</v>
      </c>
      <c r="G17" s="3" t="s">
        <v>32</v>
      </c>
      <c r="H17" s="63" t="s">
        <v>66</v>
      </c>
      <c r="I17" s="69">
        <v>3000</v>
      </c>
      <c r="J17" s="80">
        <f>IF(H17="Annual",I17/($E$22/12),IF(H17="Monthly",I17/$E$22,I17))</f>
        <v>3000</v>
      </c>
      <c r="L17" s="59">
        <f ca="1">IFERROR('Auto Finance- Avg Insurance'!F6,"")</f>
        <v>9.4902274012565582E-2</v>
      </c>
      <c r="N17" s="22"/>
    </row>
    <row r="18" spans="2:15" ht="13.95" customHeight="1" x14ac:dyDescent="0.2">
      <c r="B18" s="21"/>
      <c r="D18" s="3" t="s">
        <v>124</v>
      </c>
      <c r="E18" s="51">
        <v>5.1999999999999998E-2</v>
      </c>
      <c r="G18" s="3" t="s">
        <v>33</v>
      </c>
      <c r="H18" s="63" t="s">
        <v>69</v>
      </c>
      <c r="I18" s="69"/>
      <c r="J18" s="80">
        <f t="shared" ref="J18:J21" si="0">IF(H18="Annual",I18/($E$22/12),IF(H18="Monthly",I18/$E$22,I18))</f>
        <v>0</v>
      </c>
      <c r="N18" s="22"/>
    </row>
    <row r="19" spans="2:15" ht="13.95" customHeight="1" x14ac:dyDescent="0.2">
      <c r="B19" s="21"/>
      <c r="G19" s="3" t="s">
        <v>34</v>
      </c>
      <c r="H19" s="63" t="s">
        <v>68</v>
      </c>
      <c r="I19" s="69">
        <f>SUM(J25:J29)</f>
        <v>33120</v>
      </c>
      <c r="J19" s="80">
        <f>IF(H19="Annual",I19/($E$22/12),IF(H19="Monthly",I19/$E$22,I19))</f>
        <v>552</v>
      </c>
      <c r="L19" s="128"/>
      <c r="N19" s="22"/>
    </row>
    <row r="20" spans="2:15" ht="13.95" customHeight="1" x14ac:dyDescent="0.2">
      <c r="B20" s="21"/>
      <c r="G20" s="3" t="s">
        <v>53</v>
      </c>
      <c r="H20" s="63" t="s">
        <v>68</v>
      </c>
      <c r="I20" s="69"/>
      <c r="J20" s="80">
        <f t="shared" si="0"/>
        <v>0</v>
      </c>
      <c r="L20" s="129"/>
      <c r="N20" s="22"/>
    </row>
    <row r="21" spans="2:15" ht="13.95" customHeight="1" x14ac:dyDescent="0.2">
      <c r="B21" s="21"/>
      <c r="D21" s="188" t="s">
        <v>1</v>
      </c>
      <c r="E21" s="188"/>
      <c r="G21" s="186" t="s">
        <v>23</v>
      </c>
      <c r="H21" s="187"/>
      <c r="I21" s="95">
        <f>SUM(I17:I20)</f>
        <v>36120</v>
      </c>
      <c r="J21" s="133">
        <f t="shared" si="0"/>
        <v>36120</v>
      </c>
      <c r="N21" s="22"/>
    </row>
    <row r="22" spans="2:15" ht="13.95" customHeight="1" x14ac:dyDescent="0.2">
      <c r="B22" s="21"/>
      <c r="D22" s="130" t="s">
        <v>17</v>
      </c>
      <c r="E22" s="52">
        <v>60</v>
      </c>
      <c r="N22" s="22"/>
    </row>
    <row r="23" spans="2:15" ht="13.95" customHeight="1" x14ac:dyDescent="0.2">
      <c r="B23" s="21"/>
      <c r="D23" s="130" t="s">
        <v>129</v>
      </c>
      <c r="E23" s="62">
        <v>45292</v>
      </c>
      <c r="G23" s="28" t="s">
        <v>61</v>
      </c>
      <c r="H23" s="69">
        <v>320000</v>
      </c>
      <c r="J23" s="78"/>
      <c r="K23" s="30"/>
      <c r="M23" s="131"/>
      <c r="N23" s="22"/>
    </row>
    <row r="24" spans="2:15" s="100" customFormat="1" ht="22.8" x14ac:dyDescent="0.3">
      <c r="B24" s="101"/>
      <c r="D24" s="132" t="s">
        <v>36</v>
      </c>
      <c r="E24" s="158">
        <f>IF((ABS(DATEDIF(E23,E25,"m"))+E22)&lt;=ABS(60),(ABS(DATEDIF(E23,E25,"m"))),"Exceeded maximum loan period")</f>
        <v>0</v>
      </c>
      <c r="G24" s="29" t="s">
        <v>59</v>
      </c>
      <c r="H24" s="29" t="s">
        <v>60</v>
      </c>
      <c r="I24" s="29" t="s">
        <v>76</v>
      </c>
      <c r="J24" s="29" t="s">
        <v>62</v>
      </c>
      <c r="K24" s="29" t="s">
        <v>63</v>
      </c>
      <c r="L24" s="29" t="s">
        <v>24</v>
      </c>
      <c r="M24" s="29" t="s">
        <v>86</v>
      </c>
      <c r="N24" s="103"/>
    </row>
    <row r="25" spans="2:15" ht="13.95" customHeight="1" x14ac:dyDescent="0.2">
      <c r="B25" s="21"/>
      <c r="D25" s="130" t="s">
        <v>37</v>
      </c>
      <c r="E25" s="62">
        <v>45316</v>
      </c>
      <c r="G25" s="157">
        <v>1</v>
      </c>
      <c r="H25" s="51">
        <v>0.03</v>
      </c>
      <c r="I25" s="154">
        <v>0.2</v>
      </c>
      <c r="J25" s="58">
        <f>IF(G25&lt;&gt;"",H23*H25*1.15,0)</f>
        <v>11040</v>
      </c>
      <c r="K25" s="58" t="str">
        <f>IFERROR(IF($H$19="Annual",12*G25,IF($H$19="1st Installment",1,"")),"")</f>
        <v/>
      </c>
      <c r="L25" s="58">
        <f>IF(G25="","",IF($H$19="Monthly",J25/12,J25))</f>
        <v>920</v>
      </c>
      <c r="M25" s="58">
        <f>IF(G25&lt;&gt;"",AVERAGE($L$25:L29),"")</f>
        <v>552</v>
      </c>
      <c r="N25" s="22"/>
      <c r="O25" s="99"/>
    </row>
    <row r="26" spans="2:15" ht="13.95" customHeight="1" x14ac:dyDescent="0.2">
      <c r="B26" s="21"/>
      <c r="G26" s="157">
        <v>2</v>
      </c>
      <c r="H26" s="51">
        <v>0.03</v>
      </c>
      <c r="I26" s="154">
        <v>0.2</v>
      </c>
      <c r="J26" s="58">
        <f>IF(G26&lt;&gt;"",($H$23-($H$23*I25)*G25)*H26*1.15,0)</f>
        <v>8832</v>
      </c>
      <c r="K26" s="58" t="str">
        <f>IFERROR(IF($H$19="Annual",12*G26,""),"")</f>
        <v/>
      </c>
      <c r="L26" s="58">
        <f>IF(G26="","",IF($H$19="Monthly",J26/12,J26))</f>
        <v>736</v>
      </c>
      <c r="M26" s="58">
        <f>IF(G26&lt;&gt;"",AVERAGE($L$25:L30),"")</f>
        <v>552</v>
      </c>
      <c r="N26" s="22"/>
      <c r="O26" s="99"/>
    </row>
    <row r="27" spans="2:15" ht="13.95" customHeight="1" x14ac:dyDescent="0.2">
      <c r="B27" s="21"/>
      <c r="G27" s="157">
        <v>3</v>
      </c>
      <c r="H27" s="51">
        <v>0.03</v>
      </c>
      <c r="I27" s="154">
        <v>0.2</v>
      </c>
      <c r="J27" s="58">
        <f t="shared" ref="J27:J29" si="1">IF(G27&lt;&gt;"",($H$23-($H$23*I26)*G26)*H27*1.15,0)</f>
        <v>6623.9999999999991</v>
      </c>
      <c r="K27" s="58" t="str">
        <f>IFERROR(IF($H$19="Annual",12*G27,""),"")</f>
        <v/>
      </c>
      <c r="L27" s="58">
        <f>IF(G27="","",IF($H$19="Monthly",J27/12,J27))</f>
        <v>551.99999999999989</v>
      </c>
      <c r="M27" s="58">
        <f>IF(G27&lt;&gt;"",AVERAGE($L$25:L31),"")</f>
        <v>552</v>
      </c>
      <c r="N27" s="22"/>
      <c r="O27" s="99"/>
    </row>
    <row r="28" spans="2:15" ht="13.95" customHeight="1" x14ac:dyDescent="0.2">
      <c r="B28" s="21"/>
      <c r="D28" s="188" t="s">
        <v>9</v>
      </c>
      <c r="E28" s="188"/>
      <c r="G28" s="157">
        <v>4</v>
      </c>
      <c r="H28" s="51">
        <v>0.03</v>
      </c>
      <c r="I28" s="154">
        <v>0.2</v>
      </c>
      <c r="J28" s="58">
        <f t="shared" si="1"/>
        <v>4416</v>
      </c>
      <c r="K28" s="58" t="str">
        <f>IFERROR(IF($H$19="Annual",12*G28,""),"")</f>
        <v/>
      </c>
      <c r="L28" s="58">
        <f>IF(G28="","",IF($H$19="Monthly",J28/12,J28))</f>
        <v>368</v>
      </c>
      <c r="M28" s="58">
        <f>IF(G28&lt;&gt;"",AVERAGE($L$25:L32),"")</f>
        <v>552</v>
      </c>
      <c r="N28" s="22"/>
      <c r="O28" s="99"/>
    </row>
    <row r="29" spans="2:15" ht="13.95" customHeight="1" x14ac:dyDescent="0.2">
      <c r="B29" s="21"/>
      <c r="D29" s="130" t="s">
        <v>12</v>
      </c>
      <c r="E29" s="69">
        <v>50000</v>
      </c>
      <c r="G29" s="157">
        <v>5</v>
      </c>
      <c r="H29" s="51">
        <v>0.03</v>
      </c>
      <c r="I29" s="154">
        <v>0.2</v>
      </c>
      <c r="J29" s="58">
        <f t="shared" si="1"/>
        <v>2208</v>
      </c>
      <c r="K29" s="58" t="str">
        <f>IFERROR(IF($H$19="Annual",12*G29,""),"")</f>
        <v/>
      </c>
      <c r="L29" s="58">
        <f>IF(G29="","",IF($H$19="Monthly",J29/12,J29))</f>
        <v>184</v>
      </c>
      <c r="M29" s="58">
        <f>IF(G29&lt;&gt;"",AVERAGE($L$25:L33),"")</f>
        <v>552</v>
      </c>
      <c r="N29" s="22"/>
      <c r="O29" s="99"/>
    </row>
    <row r="30" spans="2:15" ht="13.95" customHeight="1" thickBot="1" x14ac:dyDescent="0.25">
      <c r="B30" s="23"/>
      <c r="C30" s="24"/>
      <c r="D30" s="24"/>
      <c r="E30" s="24"/>
      <c r="F30" s="24"/>
      <c r="G30" s="24"/>
      <c r="H30" s="24"/>
      <c r="I30" s="24"/>
      <c r="J30" s="24"/>
      <c r="K30" s="24"/>
      <c r="L30" s="33"/>
      <c r="M30" s="33"/>
      <c r="N30" s="26"/>
    </row>
  </sheetData>
  <mergeCells count="14">
    <mergeCell ref="B3:H11"/>
    <mergeCell ref="K3:N3"/>
    <mergeCell ref="K4:N4"/>
    <mergeCell ref="K5:N5"/>
    <mergeCell ref="K6:N6"/>
    <mergeCell ref="K7:N7"/>
    <mergeCell ref="K8:N8"/>
    <mergeCell ref="K9:N9"/>
    <mergeCell ref="K10:N10"/>
    <mergeCell ref="D21:E21"/>
    <mergeCell ref="G21:H21"/>
    <mergeCell ref="D28:E28"/>
    <mergeCell ref="C14:M14"/>
    <mergeCell ref="D16:E16"/>
  </mergeCells>
  <conditionalFormatting sqref="E25">
    <cfRule type="expression" dxfId="0" priority="3">
      <formula>$E25&lt;$E23</formula>
    </cfRule>
  </conditionalFormatting>
  <dataValidations count="2">
    <dataValidation type="list" allowBlank="1" showInputMessage="1" showErrorMessage="1" sqref="H17:H20" xr:uid="{00000000-0002-0000-0900-000000000000}">
      <formula1>"Monthly, Annual, Upfront payment, 1st Installment"</formula1>
    </dataValidation>
    <dataValidation type="list" allowBlank="1" showInputMessage="1" showErrorMessage="1" sqref="H21" xr:uid="{00000000-0002-0000-0900-000001000000}">
      <formula1>"Monthly, Annual, Beginning of the loan, End of the loan"</formula1>
    </dataValidation>
  </dataValidations>
  <pageMargins left="0.7" right="0.7" top="0.75" bottom="0.75" header="0.3" footer="0.3"/>
  <pageSetup orientation="portrait" r:id="rId1"/>
  <headerFooter>
    <oddHeader>&amp;C
&amp;G</oddHeader>
  </headerFooter>
  <legacyDrawingHF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CEE4CE"/>
  </sheetPr>
  <dimension ref="A1:X83"/>
  <sheetViews>
    <sheetView showGridLines="0" topLeftCell="B1" zoomScaleNormal="100" workbookViewId="0">
      <selection activeCell="B19" sqref="B19"/>
    </sheetView>
  </sheetViews>
  <sheetFormatPr defaultColWidth="8.88671875" defaultRowHeight="11.4" x14ac:dyDescent="0.2"/>
  <cols>
    <col min="1" max="1" width="0" style="1" hidden="1" customWidth="1"/>
    <col min="2" max="7" width="24.33203125" style="1" customWidth="1"/>
    <col min="8" max="8" width="29.109375" style="1" bestFit="1" customWidth="1"/>
    <col min="9" max="14" width="24.33203125" style="1" customWidth="1"/>
    <col min="15" max="15" width="17.33203125" style="1" bestFit="1" customWidth="1"/>
    <col min="16" max="16" width="11" style="1" bestFit="1" customWidth="1"/>
    <col min="17" max="17" width="12" style="1" bestFit="1" customWidth="1"/>
    <col min="18" max="18" width="8.88671875" style="1"/>
    <col min="19" max="19" width="10.44140625" style="1" bestFit="1" customWidth="1"/>
    <col min="20" max="20" width="11.6640625" style="1" bestFit="1" customWidth="1"/>
    <col min="21" max="21" width="10.5546875" style="68" bestFit="1" customWidth="1"/>
    <col min="22" max="23" width="8.88671875" style="1" customWidth="1"/>
    <col min="24" max="16384" width="8.88671875" style="1"/>
  </cols>
  <sheetData>
    <row r="1" spans="2:24" x14ac:dyDescent="0.2">
      <c r="V1" s="179">
        <f>ROW(S17)</f>
        <v>17</v>
      </c>
      <c r="W1" s="179">
        <f>ROW(T17)</f>
        <v>17</v>
      </c>
    </row>
    <row r="2" spans="2:24" ht="16.95" customHeight="1" x14ac:dyDescent="0.2">
      <c r="B2" s="198" t="s">
        <v>14</v>
      </c>
      <c r="C2" s="198"/>
      <c r="D2" s="198"/>
      <c r="E2" s="198"/>
      <c r="F2" s="198"/>
      <c r="G2" s="198"/>
      <c r="H2" s="198"/>
      <c r="I2" s="198"/>
      <c r="J2" s="198"/>
      <c r="K2" s="198"/>
      <c r="L2" s="198"/>
      <c r="M2" s="198"/>
      <c r="N2" s="198"/>
      <c r="O2" s="198"/>
      <c r="V2" s="179">
        <f>COLUMN(S17)</f>
        <v>19</v>
      </c>
      <c r="W2" s="179">
        <f>COLUMN(T17)</f>
        <v>20</v>
      </c>
    </row>
    <row r="3" spans="2:24" x14ac:dyDescent="0.2">
      <c r="V3" s="179"/>
      <c r="W3" s="180">
        <f>COUNTIF(S17:S81,"&gt;0")-1</f>
        <v>60</v>
      </c>
    </row>
    <row r="4" spans="2:24" x14ac:dyDescent="0.2">
      <c r="B4" s="196" t="s">
        <v>19</v>
      </c>
      <c r="C4" s="196"/>
      <c r="D4" s="196"/>
      <c r="E4" s="196"/>
      <c r="F4" s="196"/>
    </row>
    <row r="6" spans="2:24" x14ac:dyDescent="0.2">
      <c r="B6" s="3" t="s">
        <v>17</v>
      </c>
      <c r="C6" s="3">
        <f>'Input-AF (Avg Insurance) '!E22</f>
        <v>60</v>
      </c>
      <c r="E6" s="17" t="s">
        <v>7</v>
      </c>
      <c r="F6" s="14">
        <f ca="1">XIRR(T17:INDIRECT(ADDRESS($W$1+$W$3,$W$2)),S17:INDIRECT(ADDRESS($V$1+$W$3,$V$2)))</f>
        <v>9.4902274012565582E-2</v>
      </c>
    </row>
    <row r="8" spans="2:24" x14ac:dyDescent="0.2">
      <c r="B8" s="3" t="s">
        <v>2</v>
      </c>
      <c r="C8" s="5">
        <f>'Input-AF (Avg Insurance) '!E17</f>
        <v>300000</v>
      </c>
    </row>
    <row r="9" spans="2:24" x14ac:dyDescent="0.2">
      <c r="B9" s="3" t="s">
        <v>110</v>
      </c>
      <c r="C9" s="5">
        <f>-SUM(E18:E82)</f>
        <v>47444.993100996333</v>
      </c>
      <c r="D9" s="8"/>
      <c r="T9" s="110"/>
      <c r="X9" s="15"/>
    </row>
    <row r="10" spans="2:24" x14ac:dyDescent="0.2">
      <c r="B10" s="3" t="s">
        <v>8</v>
      </c>
      <c r="C10" s="5">
        <f>SUM($N$17:$N$82)</f>
        <v>36120</v>
      </c>
      <c r="F10" s="107"/>
      <c r="X10" s="7"/>
    </row>
    <row r="11" spans="2:24" x14ac:dyDescent="0.2">
      <c r="B11" s="3" t="s">
        <v>41</v>
      </c>
      <c r="C11" s="9">
        <f>EDATE('Input-AF (Avg Insurance) '!E25,C6)</f>
        <v>47143</v>
      </c>
      <c r="X11" s="8"/>
    </row>
    <row r="13" spans="2:24" x14ac:dyDescent="0.2">
      <c r="B13" s="3" t="s">
        <v>12</v>
      </c>
      <c r="C13" s="98">
        <f>'Input-AF (Avg Insurance) '!E29</f>
        <v>50000</v>
      </c>
      <c r="H13" s="68"/>
      <c r="I13" s="2"/>
      <c r="P13" s="15"/>
    </row>
    <row r="14" spans="2:24" x14ac:dyDescent="0.2">
      <c r="F14" s="12"/>
      <c r="H14" s="68"/>
      <c r="P14" s="7"/>
      <c r="Q14" s="8"/>
      <c r="R14" s="8"/>
    </row>
    <row r="15" spans="2:24" x14ac:dyDescent="0.2">
      <c r="H15" s="225"/>
      <c r="I15" s="225"/>
      <c r="N15" s="12"/>
      <c r="S15" s="197" t="s">
        <v>38</v>
      </c>
      <c r="T15" s="197"/>
    </row>
    <row r="16" spans="2:24" ht="10.8" customHeight="1" x14ac:dyDescent="0.2">
      <c r="B16" s="13" t="s">
        <v>3</v>
      </c>
      <c r="C16" s="13" t="s">
        <v>4</v>
      </c>
      <c r="D16" s="13" t="s">
        <v>5</v>
      </c>
      <c r="E16" s="13" t="s">
        <v>110</v>
      </c>
      <c r="F16" s="13" t="s">
        <v>10</v>
      </c>
      <c r="G16" s="13" t="s">
        <v>111</v>
      </c>
      <c r="H16" s="13" t="s">
        <v>6</v>
      </c>
      <c r="I16" s="13" t="s">
        <v>11</v>
      </c>
      <c r="J16" s="13" t="s">
        <v>32</v>
      </c>
      <c r="K16" s="13" t="s">
        <v>33</v>
      </c>
      <c r="L16" s="13" t="s">
        <v>34</v>
      </c>
      <c r="M16" s="13" t="s">
        <v>55</v>
      </c>
      <c r="N16" s="13" t="s">
        <v>15</v>
      </c>
      <c r="O16" s="13" t="s">
        <v>16</v>
      </c>
      <c r="S16" s="13" t="s">
        <v>39</v>
      </c>
      <c r="T16" s="13" t="s">
        <v>40</v>
      </c>
    </row>
    <row r="17" spans="1:24" x14ac:dyDescent="0.2">
      <c r="B17" s="16">
        <v>0</v>
      </c>
      <c r="C17" s="9">
        <f>'Input-AF (Avg Insurance) '!E23</f>
        <v>45292</v>
      </c>
      <c r="D17" s="6">
        <v>0</v>
      </c>
      <c r="E17" s="6">
        <v>0</v>
      </c>
      <c r="F17" s="6">
        <v>0</v>
      </c>
      <c r="G17" s="6">
        <v>0</v>
      </c>
      <c r="H17" s="6">
        <v>0</v>
      </c>
      <c r="I17" s="6">
        <v>0</v>
      </c>
      <c r="J17" s="6">
        <f>IF(AND('Input-AF (Avg Insurance) '!$H$17="Upfront Payment",B17=0),'Input-AF (Avg Insurance) '!$I$17,"")</f>
        <v>3000</v>
      </c>
      <c r="K17" s="6" t="str">
        <f>IF(AND('Input-AF (Avg Insurance) '!$H$18="Upfront Payment",B17=0),'Input-AF (Avg Insurance) '!$J$18,"")</f>
        <v/>
      </c>
      <c r="L17" s="6" t="str">
        <f>IF(AND('Input-AF (Avg Insurance) '!$H$19="Upfront Payment",B17=0),'Input-AF (Avg Insurance) '!$I$19,"")</f>
        <v/>
      </c>
      <c r="M17" s="6" t="str">
        <f>IF(AND('Input-AF (Avg Insurance) '!$H$20="Upfront Payment",B17=0),'Input-AF (Avg Insurance) '!$J$20,"")</f>
        <v/>
      </c>
      <c r="N17" s="6">
        <f t="shared" ref="N17:N48" si="0">IF(B17&lt;&gt;"",SUM(J17:M17),"")</f>
        <v>3000</v>
      </c>
      <c r="O17" s="6">
        <f>IF(B17&lt;&gt;"",SUM(J17:M17)+H17,"")</f>
        <v>3000</v>
      </c>
      <c r="S17" s="9">
        <f>C17</f>
        <v>45292</v>
      </c>
      <c r="T17" s="5">
        <f>-(C8-O17)</f>
        <v>-297000</v>
      </c>
      <c r="V17" s="105"/>
      <c r="W17" s="104"/>
      <c r="X17" s="8"/>
    </row>
    <row r="18" spans="1:24" x14ac:dyDescent="0.2">
      <c r="A18" s="1">
        <f>IF(B18&lt;&gt;"",1,"")</f>
        <v>1</v>
      </c>
      <c r="B18" s="16">
        <v>1</v>
      </c>
      <c r="C18" s="9">
        <f>'Input-AF (Avg Insurance) '!E25</f>
        <v>45316</v>
      </c>
      <c r="D18" s="6">
        <f>IFERROR(PPMT('Input-AF (Avg Insurance) '!$E$18/12,B18,$C$6,'Input-AF (Avg Insurance) '!$E$17,-$C$13,0)," ")</f>
        <v>-3657.4165516832722</v>
      </c>
      <c r="E18" s="6">
        <f>IFERROR(IPMT('Input-AF (Avg Insurance) '!$E$18/12,B18,$C$6,'Input-AF (Avg Insurance) '!$E$17,-$C$13,0)," ")</f>
        <v>-1300</v>
      </c>
      <c r="F18" s="6">
        <f>D18</f>
        <v>-3657.4165516832722</v>
      </c>
      <c r="G18" s="6">
        <f>E18</f>
        <v>-1300</v>
      </c>
      <c r="H18" s="6">
        <f>+IF(B18=$C$6,-$C$13+(IFERROR(D18+E18,"")),IFERROR(D18+E18,""))</f>
        <v>-4957.4165516832727</v>
      </c>
      <c r="I18" s="6">
        <f>+IFERROR($C$8+F18,"")</f>
        <v>296342.58344831673</v>
      </c>
      <c r="J18" s="6" t="str">
        <f>IF(B18&lt;&gt;"",IF(AND('Input-AF (Avg Insurance) '!$H$17="Annual",MOD(B18,12)=0),'Input-AF (Avg Insurance) '!$J$17,IF(AND('Input-AF (Avg Insurance) '!$H$17="1st Installment",B18=1),'Input-AF (Avg Insurance) '!$J$17,IF('Input-AF (Avg Insurance) '!$H$17="Monthly",'Input-AF (Avg Insurance) '!$J$17,""))),"")</f>
        <v/>
      </c>
      <c r="K18" s="6" t="str">
        <f>IF(B18&lt;&gt;"",IF(AND('Input-AF (Avg Insurance) '!$H$18="Annual",MOD(B18,12)=0),'Input-AF (Avg Insurance) '!$J$18,IF(AND('Input-AF (Avg Insurance) '!$H$18="1st Installment",B18=1),'Input-AF (Avg Insurance) '!$J$18,IF('Input-AF (Avg Insurance) '!$H$18="Monthly",'Input-AF (Avg Insurance) '!$J$18,""))),"")</f>
        <v/>
      </c>
      <c r="L18" s="6">
        <f>IF(B18&lt;=$C$6,(IF(B18&lt;&gt;"",IF(AND('Input-AF (Avg Insurance) '!$H$19="Annual",MOD(B18,12)=0),'Input-AF (Avg Insurance) '!$J$19,IF(AND('Input-AF (Avg Insurance) '!$H$19="1st Installment",B18=1),'Input-AF (Avg Insurance) '!$J$19,IF('Input-AF (Avg Insurance) '!$H$19="Monthly",'Input-AF (Avg Insurance) '!$J$19,""))),""))," ")</f>
        <v>552</v>
      </c>
      <c r="M18" s="6">
        <f>IF(B18&lt;&gt;"",IF(AND('Input-AF (Avg Insurance) '!$H$20="Annual",MOD(B18,12)=0),'Input-AF (Avg Insurance) '!$J$20,IF(AND('Input-AF (Avg Insurance) '!$H$20="1st Installment",B18=1),'Input-AF (Avg Insurance) '!$J$20,IF('Input-AF (Avg Insurance) '!$H$20="Monthly",'Input-AF (Avg Insurance) '!$J$20,IF(AND('Input-AF (Avg Insurance) '!$H$20="End of the loan",B18='Input-AF (Avg Insurance) '!$E$22),'Input-AF (Avg Insurance) '!$J$20,"")))),"")</f>
        <v>0</v>
      </c>
      <c r="N18" s="6">
        <f>IF(B18&lt;=$C$6,SUM(J18:M18),"")</f>
        <v>552</v>
      </c>
      <c r="O18" s="4">
        <f t="shared" ref="O18:O77" si="1">IF(B18&lt;&gt;"",(-H18+N18),"")</f>
        <v>5509.4165516832727</v>
      </c>
      <c r="S18" s="9">
        <f t="shared" ref="S18:S77" si="2">C18</f>
        <v>45316</v>
      </c>
      <c r="T18" s="5">
        <f>IFERROR(ROUND((_xlfn.IFNA(VLOOKUP(S18,$C$18:$O$82,13,0),0)),2)," ")</f>
        <v>5509.42</v>
      </c>
      <c r="V18" s="106"/>
      <c r="W18" s="99"/>
    </row>
    <row r="19" spans="1:24" x14ac:dyDescent="0.2">
      <c r="A19" s="1">
        <f t="shared" ref="A19:A29" si="3">IF(B19&lt;&gt;"",1,"")</f>
        <v>1</v>
      </c>
      <c r="B19" s="16">
        <f>IF(B18="","",IF((B18+1)&lt;=$C$6,B18+1,""))</f>
        <v>2</v>
      </c>
      <c r="C19" s="9">
        <f>IF(B19="","",EDATE($C$18,(B19-1)))</f>
        <v>45347</v>
      </c>
      <c r="D19" s="6">
        <f>IFERROR(PPMT('Input-AF (Avg Insurance) '!$E$18/12,B19,$C$6,'Input-AF (Avg Insurance) '!$E$17,-$C$13,0)," ")</f>
        <v>-3673.2653567405659</v>
      </c>
      <c r="E19" s="6">
        <f>IFERROR(IPMT('Input-AF (Avg Insurance) '!$E$18/12,B19,$C$6,'Input-AF (Avg Insurance) '!$E$17,-$C$13,0)," ")</f>
        <v>-1284.1511949427056</v>
      </c>
      <c r="F19" s="6">
        <f>IF(B19&lt;=$C$6,F18+D19,"")</f>
        <v>-7330.6819084238377</v>
      </c>
      <c r="G19" s="6">
        <f>IF(B19&lt;=$C$6,G18+E19,"")</f>
        <v>-2584.1511949427058</v>
      </c>
      <c r="H19" s="6">
        <f t="shared" ref="H19:H77" si="4">+IF(B19=$C$6,-$C$13+(IFERROR(D19+E19,"")),IFERROR(D19+E19,""))</f>
        <v>-4957.4165516832718</v>
      </c>
      <c r="I19" s="6">
        <f t="shared" ref="I19:I77" si="5">+IFERROR($C$8+F19,"")</f>
        <v>292669.31809157616</v>
      </c>
      <c r="J19" s="6" t="str">
        <f>IF(B19&lt;&gt;"",IF(AND('Input-AF (Avg Insurance) '!$H$17="Annual",MOD(B19,12)=0),'Input-AF (Avg Insurance) '!$J$17,IF(AND('Input-AF (Avg Insurance) '!$H$17="1st Installment",B19=1),'Input-AF (Avg Insurance) '!$J$17,IF('Input-AF (Avg Insurance) '!$H$17="Monthly",'Input-AF (Avg Insurance) '!$J$17,""))),"")</f>
        <v/>
      </c>
      <c r="K19" s="6" t="str">
        <f>IF(B19&lt;&gt;"",IF(AND('Input-AF (Avg Insurance) '!$H$18="Annual",MOD(B19,12)=0),'Input-AF (Avg Insurance) '!$J$18,IF(AND('Input-AF (Avg Insurance) '!$H$18="1st Installment",B19=1),'Input-AF (Avg Insurance) '!$J$18,IF('Input-AF (Avg Insurance) '!$H$18="Monthly",'Input-AF (Avg Insurance) '!$J$18,""))),"")</f>
        <v/>
      </c>
      <c r="L19" s="6">
        <f>IF(B19&lt;=$C$6,(IF(B19&lt;&gt;"",IF(AND('Input-AF (Avg Insurance) '!$H$19="Annual",MOD(B19,12)=0),'Input-AF (Avg Insurance) '!$J$19,IF(AND('Input-AF (Avg Insurance) '!$H$19="1st Installment",B19=1),'Input-AF (Avg Insurance) '!$J$19,IF('Input-AF (Avg Insurance) '!$H$19="Monthly",'Input-AF (Avg Insurance) '!$J$19,""))),""))," ")</f>
        <v>552</v>
      </c>
      <c r="M19" s="6">
        <f>IF(B19&lt;&gt;"",IF(AND('Input-AF (Avg Insurance) '!$H$20="Annual",MOD(B19,12)=0),'Input-AF (Avg Insurance) '!$J$20,IF(AND('Input-AF (Avg Insurance) '!$H$20="1st Installment",B19=1),'Input-AF (Avg Insurance) '!$J$20,IF('Input-AF (Avg Insurance) '!$H$20="Monthly",'Input-AF (Avg Insurance) '!$J$20,IF(AND('Input-AF (Avg Insurance) '!$H$20="End of the loan",B19='Input-AF (Avg Insurance) '!$E$22),'Input-AF (Avg Insurance) '!$J$20,"")))),"")</f>
        <v>0</v>
      </c>
      <c r="N19" s="6">
        <f t="shared" si="0"/>
        <v>552</v>
      </c>
      <c r="O19" s="4">
        <f t="shared" si="1"/>
        <v>5509.4165516832718</v>
      </c>
      <c r="S19" s="9">
        <f t="shared" si="2"/>
        <v>45347</v>
      </c>
      <c r="T19" s="5">
        <f t="shared" ref="T19:T77" si="6">IFERROR(ROUND((_xlfn.IFNA(VLOOKUP(S19,$C$18:$O$82,13,0),0)),2)," ")</f>
        <v>5509.42</v>
      </c>
      <c r="V19" s="106"/>
      <c r="W19" s="99"/>
    </row>
    <row r="20" spans="1:24" x14ac:dyDescent="0.2">
      <c r="A20" s="1">
        <f t="shared" si="3"/>
        <v>1</v>
      </c>
      <c r="B20" s="16">
        <f t="shared" ref="B20:B77" si="7">IF(B19="","",IF((B19+1)&lt;=$C$6,B19+1,""))</f>
        <v>3</v>
      </c>
      <c r="C20" s="9">
        <f t="shared" ref="C20:C77" si="8">IF(B20="","",EDATE($C$18,(B20-1)))</f>
        <v>45376</v>
      </c>
      <c r="D20" s="6">
        <f>IFERROR(PPMT('Input-AF (Avg Insurance) '!$E$18/12,B20,$C$6,'Input-AF (Avg Insurance) '!$E$17,-$C$13,0)," ")</f>
        <v>-3689.1828399531087</v>
      </c>
      <c r="E20" s="6">
        <f>IFERROR(IPMT('Input-AF (Avg Insurance) '!$E$18/12,B20,$C$6,'Input-AF (Avg Insurance) '!$E$17,-$C$13,0)," ")</f>
        <v>-1268.2337117301633</v>
      </c>
      <c r="F20" s="6">
        <f t="shared" ref="F20:F77" si="9">IF(B20&lt;=$C$6,F19+D20,"")</f>
        <v>-11019.864748376945</v>
      </c>
      <c r="G20" s="6">
        <f t="shared" ref="G20:G77" si="10">IF(B20&lt;=$C$6,G19+E20,"")</f>
        <v>-3852.384906672869</v>
      </c>
      <c r="H20" s="6">
        <f t="shared" si="4"/>
        <v>-4957.4165516832718</v>
      </c>
      <c r="I20" s="6">
        <f t="shared" si="5"/>
        <v>288980.13525162305</v>
      </c>
      <c r="J20" s="6" t="str">
        <f>IF(B20&lt;&gt;"",IF(AND('Input-AF (Avg Insurance) '!$H$17="Annual",MOD(B20,12)=0),'Input-AF (Avg Insurance) '!$J$17,IF(AND('Input-AF (Avg Insurance) '!$H$17="1st Installment",B20=1),'Input-AF (Avg Insurance) '!$J$17,IF('Input-AF (Avg Insurance) '!$H$17="Monthly",'Input-AF (Avg Insurance) '!$J$17,""))),"")</f>
        <v/>
      </c>
      <c r="K20" s="6" t="str">
        <f>IF(B20&lt;&gt;"",IF(AND('Input-AF (Avg Insurance) '!$H$18="Annual",MOD(B20,12)=0),'Input-AF (Avg Insurance) '!$J$18,IF(AND('Input-AF (Avg Insurance) '!$H$18="1st Installment",B20=1),'Input-AF (Avg Insurance) '!$J$18,IF('Input-AF (Avg Insurance) '!$H$18="Monthly",'Input-AF (Avg Insurance) '!$J$18,""))),"")</f>
        <v/>
      </c>
      <c r="L20" s="6">
        <f>IF(B20&lt;=$C$6,(IF(B20&lt;&gt;"",IF(AND('Input-AF (Avg Insurance) '!$H$19="Annual",MOD(B20,12)=0),'Input-AF (Avg Insurance) '!$J$19,IF(AND('Input-AF (Avg Insurance) '!$H$19="1st Installment",B20=1),'Input-AF (Avg Insurance) '!$J$19,IF('Input-AF (Avg Insurance) '!$H$19="Monthly",'Input-AF (Avg Insurance) '!$J$19,""))),""))," ")</f>
        <v>552</v>
      </c>
      <c r="M20" s="6">
        <f>IF(B20&lt;&gt;"",IF(AND('Input-AF (Avg Insurance) '!$H$20="Annual",MOD(B20,12)=0),'Input-AF (Avg Insurance) '!$J$20,IF(AND('Input-AF (Avg Insurance) '!$H$20="1st Installment",B20=1),'Input-AF (Avg Insurance) '!$J$20,IF('Input-AF (Avg Insurance) '!$H$20="Monthly",'Input-AF (Avg Insurance) '!$J$20,IF(AND('Input-AF (Avg Insurance) '!$H$20="End of the loan",B20='Input-AF (Avg Insurance) '!$E$22),'Input-AF (Avg Insurance) '!$J$20,"")))),"")</f>
        <v>0</v>
      </c>
      <c r="N20" s="6">
        <f t="shared" si="0"/>
        <v>552</v>
      </c>
      <c r="O20" s="4">
        <f t="shared" si="1"/>
        <v>5509.4165516832718</v>
      </c>
      <c r="S20" s="9">
        <f t="shared" si="2"/>
        <v>45376</v>
      </c>
      <c r="T20" s="5">
        <f t="shared" si="6"/>
        <v>5509.42</v>
      </c>
      <c r="V20" s="106"/>
      <c r="W20" s="99"/>
    </row>
    <row r="21" spans="1:24" x14ac:dyDescent="0.2">
      <c r="A21" s="1">
        <f t="shared" si="3"/>
        <v>1</v>
      </c>
      <c r="B21" s="16">
        <f t="shared" si="7"/>
        <v>4</v>
      </c>
      <c r="C21" s="9">
        <f t="shared" si="8"/>
        <v>45407</v>
      </c>
      <c r="D21" s="6">
        <f>IFERROR(PPMT('Input-AF (Avg Insurance) '!$E$18/12,B21,$C$6,'Input-AF (Avg Insurance) '!$E$17,-$C$13,0)," ")</f>
        <v>-3705.1692989262383</v>
      </c>
      <c r="E21" s="6">
        <f>IFERROR(IPMT('Input-AF (Avg Insurance) '!$E$18/12,B21,$C$6,'Input-AF (Avg Insurance) '!$E$17,-$C$13,0)," ")</f>
        <v>-1252.247252757033</v>
      </c>
      <c r="F21" s="6">
        <f t="shared" si="9"/>
        <v>-14725.034047303183</v>
      </c>
      <c r="G21" s="6">
        <f t="shared" si="10"/>
        <v>-5104.6321594299025</v>
      </c>
      <c r="H21" s="6">
        <f t="shared" si="4"/>
        <v>-4957.4165516832709</v>
      </c>
      <c r="I21" s="6">
        <f t="shared" si="5"/>
        <v>285274.9659526968</v>
      </c>
      <c r="J21" s="6" t="str">
        <f>IF(B21&lt;&gt;"",IF(AND('Input-AF (Avg Insurance) '!$H$17="Annual",MOD(B21,12)=0),'Input-AF (Avg Insurance) '!$J$17,IF(AND('Input-AF (Avg Insurance) '!$H$17="1st Installment",B21=1),'Input-AF (Avg Insurance) '!$J$17,IF('Input-AF (Avg Insurance) '!$H$17="Monthly",'Input-AF (Avg Insurance) '!$J$17,""))),"")</f>
        <v/>
      </c>
      <c r="K21" s="6" t="str">
        <f>IF(B21&lt;&gt;"",IF(AND('Input-AF (Avg Insurance) '!$H$18="Annual",MOD(B21,12)=0),'Input-AF (Avg Insurance) '!$J$18,IF(AND('Input-AF (Avg Insurance) '!$H$18="1st Installment",B21=1),'Input-AF (Avg Insurance) '!$J$18,IF('Input-AF (Avg Insurance) '!$H$18="Monthly",'Input-AF (Avg Insurance) '!$J$18,""))),"")</f>
        <v/>
      </c>
      <c r="L21" s="6">
        <f>IF(B21&lt;=$C$6,(IF(B21&lt;&gt;"",IF(AND('Input-AF (Avg Insurance) '!$H$19="Annual",MOD(B21,12)=0),'Input-AF (Avg Insurance) '!$J$19,IF(AND('Input-AF (Avg Insurance) '!$H$19="1st Installment",B21=1),'Input-AF (Avg Insurance) '!$J$19,IF('Input-AF (Avg Insurance) '!$H$19="Monthly",'Input-AF (Avg Insurance) '!$J$19,""))),""))," ")</f>
        <v>552</v>
      </c>
      <c r="M21" s="6">
        <f>IF(B21&lt;&gt;"",IF(AND('Input-AF (Avg Insurance) '!$H$20="Annual",MOD(B21,12)=0),'Input-AF (Avg Insurance) '!$J$20,IF(AND('Input-AF (Avg Insurance) '!$H$20="1st Installment",B21=1),'Input-AF (Avg Insurance) '!$J$20,IF('Input-AF (Avg Insurance) '!$H$20="Monthly",'Input-AF (Avg Insurance) '!$J$20,IF(AND('Input-AF (Avg Insurance) '!$H$20="End of the loan",B21='Input-AF (Avg Insurance) '!$E$22),'Input-AF (Avg Insurance) '!$J$20,"")))),"")</f>
        <v>0</v>
      </c>
      <c r="N21" s="6">
        <f t="shared" si="0"/>
        <v>552</v>
      </c>
      <c r="O21" s="4">
        <f t="shared" si="1"/>
        <v>5509.4165516832709</v>
      </c>
      <c r="S21" s="9">
        <f t="shared" si="2"/>
        <v>45407</v>
      </c>
      <c r="T21" s="5">
        <f t="shared" si="6"/>
        <v>5509.42</v>
      </c>
      <c r="V21" s="106"/>
      <c r="W21" s="99"/>
    </row>
    <row r="22" spans="1:24" x14ac:dyDescent="0.2">
      <c r="A22" s="1">
        <f t="shared" si="3"/>
        <v>1</v>
      </c>
      <c r="B22" s="16">
        <f t="shared" si="7"/>
        <v>5</v>
      </c>
      <c r="C22" s="9">
        <f t="shared" si="8"/>
        <v>45437</v>
      </c>
      <c r="D22" s="6">
        <f>IFERROR(PPMT('Input-AF (Avg Insurance) '!$E$18/12,B22,$C$6,'Input-AF (Avg Insurance) '!$E$17,-$C$13,0)," ")</f>
        <v>-3721.2250325549194</v>
      </c>
      <c r="E22" s="6">
        <f>IFERROR(IPMT('Input-AF (Avg Insurance) '!$E$18/12,B22,$C$6,'Input-AF (Avg Insurance) '!$E$17,-$C$13,0)," ")</f>
        <v>-1236.1915191283524</v>
      </c>
      <c r="F22" s="6">
        <f t="shared" si="9"/>
        <v>-18446.2590798581</v>
      </c>
      <c r="G22" s="6">
        <f t="shared" si="10"/>
        <v>-6340.8236785582549</v>
      </c>
      <c r="H22" s="6">
        <f t="shared" si="4"/>
        <v>-4957.4165516832718</v>
      </c>
      <c r="I22" s="6">
        <f t="shared" si="5"/>
        <v>281553.74092014192</v>
      </c>
      <c r="J22" s="6" t="str">
        <f>IF(B22&lt;&gt;"",IF(AND('Input-AF (Avg Insurance) '!$H$17="Annual",MOD(B22,12)=0),'Input-AF (Avg Insurance) '!$J$17,IF(AND('Input-AF (Avg Insurance) '!$H$17="1st Installment",B22=1),'Input-AF (Avg Insurance) '!$J$17,IF('Input-AF (Avg Insurance) '!$H$17="Monthly",'Input-AF (Avg Insurance) '!$J$17,""))),"")</f>
        <v/>
      </c>
      <c r="K22" s="6" t="str">
        <f>IF(B22&lt;&gt;"",IF(AND('Input-AF (Avg Insurance) '!$H$18="Annual",MOD(B22,12)=0),'Input-AF (Avg Insurance) '!$J$18,IF(AND('Input-AF (Avg Insurance) '!$H$18="1st Installment",B22=1),'Input-AF (Avg Insurance) '!$J$18,IF('Input-AF (Avg Insurance) '!$H$18="Monthly",'Input-AF (Avg Insurance) '!$J$18,""))),"")</f>
        <v/>
      </c>
      <c r="L22" s="6">
        <f>IF(B22&lt;=$C$6,(IF(B22&lt;&gt;"",IF(AND('Input-AF (Avg Insurance) '!$H$19="Annual",MOD(B22,12)=0),'Input-AF (Avg Insurance) '!$J$19,IF(AND('Input-AF (Avg Insurance) '!$H$19="1st Installment",B22=1),'Input-AF (Avg Insurance) '!$J$19,IF('Input-AF (Avg Insurance) '!$H$19="Monthly",'Input-AF (Avg Insurance) '!$J$19,""))),""))," ")</f>
        <v>552</v>
      </c>
      <c r="M22" s="6">
        <f>IF(B22&lt;&gt;"",IF(AND('Input-AF (Avg Insurance) '!$H$20="Annual",MOD(B22,12)=0),'Input-AF (Avg Insurance) '!$J$20,IF(AND('Input-AF (Avg Insurance) '!$H$20="1st Installment",B22=1),'Input-AF (Avg Insurance) '!$J$20,IF('Input-AF (Avg Insurance) '!$H$20="Monthly",'Input-AF (Avg Insurance) '!$J$20,IF(AND('Input-AF (Avg Insurance) '!$H$20="End of the loan",B22='Input-AF (Avg Insurance) '!$E$22),'Input-AF (Avg Insurance) '!$J$20,"")))),"")</f>
        <v>0</v>
      </c>
      <c r="N22" s="6">
        <f t="shared" si="0"/>
        <v>552</v>
      </c>
      <c r="O22" s="4">
        <f t="shared" si="1"/>
        <v>5509.4165516832718</v>
      </c>
      <c r="S22" s="9">
        <f t="shared" si="2"/>
        <v>45437</v>
      </c>
      <c r="T22" s="5">
        <f t="shared" si="6"/>
        <v>5509.42</v>
      </c>
      <c r="V22" s="106"/>
      <c r="W22" s="99"/>
    </row>
    <row r="23" spans="1:24" x14ac:dyDescent="0.2">
      <c r="A23" s="1">
        <f t="shared" si="3"/>
        <v>1</v>
      </c>
      <c r="B23" s="16">
        <f t="shared" si="7"/>
        <v>6</v>
      </c>
      <c r="C23" s="9">
        <f t="shared" si="8"/>
        <v>45468</v>
      </c>
      <c r="D23" s="6">
        <f>IFERROR(PPMT('Input-AF (Avg Insurance) '!$E$18/12,B23,$C$6,'Input-AF (Avg Insurance) '!$E$17,-$C$13,0)," ")</f>
        <v>-3737.3503410293233</v>
      </c>
      <c r="E23" s="6">
        <f>IFERROR(IPMT('Input-AF (Avg Insurance) '!$E$18/12,B23,$C$6,'Input-AF (Avg Insurance) '!$E$17,-$C$13,0)," ")</f>
        <v>-1220.066210653948</v>
      </c>
      <c r="F23" s="6">
        <f t="shared" si="9"/>
        <v>-22183.609420887424</v>
      </c>
      <c r="G23" s="6">
        <f t="shared" si="10"/>
        <v>-7560.8898892122033</v>
      </c>
      <c r="H23" s="6">
        <f t="shared" si="4"/>
        <v>-4957.4165516832709</v>
      </c>
      <c r="I23" s="6">
        <f t="shared" si="5"/>
        <v>277816.39057911257</v>
      </c>
      <c r="J23" s="6" t="str">
        <f>IF(B23&lt;&gt;"",IF(AND('Input-AF (Avg Insurance) '!$H$17="Annual",MOD(B23,12)=0),'Input-AF (Avg Insurance) '!$J$17,IF(AND('Input-AF (Avg Insurance) '!$H$17="1st Installment",B23=1),'Input-AF (Avg Insurance) '!$J$17,IF('Input-AF (Avg Insurance) '!$H$17="Monthly",'Input-AF (Avg Insurance) '!$J$17,""))),"")</f>
        <v/>
      </c>
      <c r="K23" s="6" t="str">
        <f>IF(B23&lt;&gt;"",IF(AND('Input-AF (Avg Insurance) '!$H$18="Annual",MOD(B23,12)=0),'Input-AF (Avg Insurance) '!$J$18,IF(AND('Input-AF (Avg Insurance) '!$H$18="1st Installment",B23=1),'Input-AF (Avg Insurance) '!$J$18,IF('Input-AF (Avg Insurance) '!$H$18="Monthly",'Input-AF (Avg Insurance) '!$J$18,""))),"")</f>
        <v/>
      </c>
      <c r="L23" s="6">
        <f>IF(B23&lt;=$C$6,(IF(B23&lt;&gt;"",IF(AND('Input-AF (Avg Insurance) '!$H$19="Annual",MOD(B23,12)=0),'Input-AF (Avg Insurance) '!$J$19,IF(AND('Input-AF (Avg Insurance) '!$H$19="1st Installment",B23=1),'Input-AF (Avg Insurance) '!$J$19,IF('Input-AF (Avg Insurance) '!$H$19="Monthly",'Input-AF (Avg Insurance) '!$J$19,""))),""))," ")</f>
        <v>552</v>
      </c>
      <c r="M23" s="6">
        <f>IF(B23&lt;&gt;"",IF(AND('Input-AF (Avg Insurance) '!$H$20="Annual",MOD(B23,12)=0),'Input-AF (Avg Insurance) '!$J$20,IF(AND('Input-AF (Avg Insurance) '!$H$20="1st Installment",B23=1),'Input-AF (Avg Insurance) '!$J$20,IF('Input-AF (Avg Insurance) '!$H$20="Monthly",'Input-AF (Avg Insurance) '!$J$20,IF(AND('Input-AF (Avg Insurance) '!$H$20="End of the loan",B23='Input-AF (Avg Insurance) '!$E$22),'Input-AF (Avg Insurance) '!$J$20,"")))),"")</f>
        <v>0</v>
      </c>
      <c r="N23" s="6">
        <f t="shared" si="0"/>
        <v>552</v>
      </c>
      <c r="O23" s="4">
        <f t="shared" si="1"/>
        <v>5509.4165516832709</v>
      </c>
      <c r="S23" s="9">
        <f t="shared" si="2"/>
        <v>45468</v>
      </c>
      <c r="T23" s="5">
        <f t="shared" si="6"/>
        <v>5509.42</v>
      </c>
      <c r="V23" s="106"/>
      <c r="W23" s="99"/>
    </row>
    <row r="24" spans="1:24" x14ac:dyDescent="0.2">
      <c r="A24" s="1">
        <f t="shared" si="3"/>
        <v>1</v>
      </c>
      <c r="B24" s="16">
        <f t="shared" si="7"/>
        <v>7</v>
      </c>
      <c r="C24" s="9">
        <f t="shared" si="8"/>
        <v>45498</v>
      </c>
      <c r="D24" s="6">
        <f>IFERROR(PPMT('Input-AF (Avg Insurance) '!$E$18/12,B24,$C$6,'Input-AF (Avg Insurance) '!$E$17,-$C$13,0)," ")</f>
        <v>-3753.5455258404513</v>
      </c>
      <c r="E24" s="6">
        <f>IFERROR(IPMT('Input-AF (Avg Insurance) '!$E$18/12,B24,$C$6,'Input-AF (Avg Insurance) '!$E$17,-$C$13,0)," ")</f>
        <v>-1203.8710258428212</v>
      </c>
      <c r="F24" s="6">
        <f t="shared" si="9"/>
        <v>-25937.154946727875</v>
      </c>
      <c r="G24" s="6">
        <f t="shared" si="10"/>
        <v>-8764.7609150550252</v>
      </c>
      <c r="H24" s="6">
        <f t="shared" si="4"/>
        <v>-4957.4165516832727</v>
      </c>
      <c r="I24" s="6">
        <f t="shared" si="5"/>
        <v>274062.84505327215</v>
      </c>
      <c r="J24" s="6" t="str">
        <f>IF(B24&lt;&gt;"",IF(AND('Input-AF (Avg Insurance) '!$H$17="Annual",MOD(B24,12)=0),'Input-AF (Avg Insurance) '!$J$17,IF(AND('Input-AF (Avg Insurance) '!$H$17="1st Installment",B24=1),'Input-AF (Avg Insurance) '!$J$17,IF('Input-AF (Avg Insurance) '!$H$17="Monthly",'Input-AF (Avg Insurance) '!$J$17,""))),"")</f>
        <v/>
      </c>
      <c r="K24" s="6" t="str">
        <f>IF(B24&lt;&gt;"",IF(AND('Input-AF (Avg Insurance) '!$H$18="Annual",MOD(B24,12)=0),'Input-AF (Avg Insurance) '!$J$18,IF(AND('Input-AF (Avg Insurance) '!$H$18="1st Installment",B24=1),'Input-AF (Avg Insurance) '!$J$18,IF('Input-AF (Avg Insurance) '!$H$18="Monthly",'Input-AF (Avg Insurance) '!$J$18,""))),"")</f>
        <v/>
      </c>
      <c r="L24" s="6">
        <f>IF(B24&lt;=$C$6,(IF(B24&lt;&gt;"",IF(AND('Input-AF (Avg Insurance) '!$H$19="Annual",MOD(B24,12)=0),'Input-AF (Avg Insurance) '!$J$19,IF(AND('Input-AF (Avg Insurance) '!$H$19="1st Installment",B24=1),'Input-AF (Avg Insurance) '!$J$19,IF('Input-AF (Avg Insurance) '!$H$19="Monthly",'Input-AF (Avg Insurance) '!$J$19,""))),""))," ")</f>
        <v>552</v>
      </c>
      <c r="M24" s="6">
        <f>IF(B24&lt;&gt;"",IF(AND('Input-AF (Avg Insurance) '!$H$20="Annual",MOD(B24,12)=0),'Input-AF (Avg Insurance) '!$J$20,IF(AND('Input-AF (Avg Insurance) '!$H$20="1st Installment",B24=1),'Input-AF (Avg Insurance) '!$J$20,IF('Input-AF (Avg Insurance) '!$H$20="Monthly",'Input-AF (Avg Insurance) '!$J$20,IF(AND('Input-AF (Avg Insurance) '!$H$20="End of the loan",B24='Input-AF (Avg Insurance) '!$E$22),'Input-AF (Avg Insurance) '!$J$20,"")))),"")</f>
        <v>0</v>
      </c>
      <c r="N24" s="6">
        <f t="shared" si="0"/>
        <v>552</v>
      </c>
      <c r="O24" s="4">
        <f t="shared" si="1"/>
        <v>5509.4165516832727</v>
      </c>
      <c r="S24" s="9">
        <f t="shared" si="2"/>
        <v>45498</v>
      </c>
      <c r="T24" s="5">
        <f t="shared" si="6"/>
        <v>5509.42</v>
      </c>
      <c r="V24" s="106"/>
      <c r="W24" s="99"/>
    </row>
    <row r="25" spans="1:24" x14ac:dyDescent="0.2">
      <c r="A25" s="1">
        <f t="shared" si="3"/>
        <v>1</v>
      </c>
      <c r="B25" s="16">
        <f t="shared" si="7"/>
        <v>8</v>
      </c>
      <c r="C25" s="9">
        <f t="shared" si="8"/>
        <v>45529</v>
      </c>
      <c r="D25" s="6">
        <f>IFERROR(PPMT('Input-AF (Avg Insurance) '!$E$18/12,B25,$C$6,'Input-AF (Avg Insurance) '!$E$17,-$C$13,0)," ")</f>
        <v>-3769.8108897857596</v>
      </c>
      <c r="E25" s="6">
        <f>IFERROR(IPMT('Input-AF (Avg Insurance) '!$E$18/12,B25,$C$6,'Input-AF (Avg Insurance) '!$E$17,-$C$13,0)," ")</f>
        <v>-1187.6056618975124</v>
      </c>
      <c r="F25" s="6">
        <f t="shared" si="9"/>
        <v>-29706.965836513635</v>
      </c>
      <c r="G25" s="6">
        <f t="shared" si="10"/>
        <v>-9952.3665769525378</v>
      </c>
      <c r="H25" s="6">
        <f t="shared" si="4"/>
        <v>-4957.4165516832718</v>
      </c>
      <c r="I25" s="6">
        <f t="shared" si="5"/>
        <v>270293.03416348639</v>
      </c>
      <c r="J25" s="6" t="str">
        <f>IF(B25&lt;&gt;"",IF(AND('Input-AF (Avg Insurance) '!$H$17="Annual",MOD(B25,12)=0),'Input-AF (Avg Insurance) '!$J$17,IF(AND('Input-AF (Avg Insurance) '!$H$17="1st Installment",B25=1),'Input-AF (Avg Insurance) '!$J$17,IF('Input-AF (Avg Insurance) '!$H$17="Monthly",'Input-AF (Avg Insurance) '!$J$17,""))),"")</f>
        <v/>
      </c>
      <c r="K25" s="6" t="str">
        <f>IF(B25&lt;&gt;"",IF(AND('Input-AF (Avg Insurance) '!$H$18="Annual",MOD(B25,12)=0),'Input-AF (Avg Insurance) '!$J$18,IF(AND('Input-AF (Avg Insurance) '!$H$18="1st Installment",B25=1),'Input-AF (Avg Insurance) '!$J$18,IF('Input-AF (Avg Insurance) '!$H$18="Monthly",'Input-AF (Avg Insurance) '!$J$18,""))),"")</f>
        <v/>
      </c>
      <c r="L25" s="6">
        <f>IF(B25&lt;=$C$6,(IF(B25&lt;&gt;"",IF(AND('Input-AF (Avg Insurance) '!$H$19="Annual",MOD(B25,12)=0),'Input-AF (Avg Insurance) '!$J$19,IF(AND('Input-AF (Avg Insurance) '!$H$19="1st Installment",B25=1),'Input-AF (Avg Insurance) '!$J$19,IF('Input-AF (Avg Insurance) '!$H$19="Monthly",'Input-AF (Avg Insurance) '!$J$19,""))),""))," ")</f>
        <v>552</v>
      </c>
      <c r="M25" s="6">
        <f>IF(B25&lt;&gt;"",IF(AND('Input-AF (Avg Insurance) '!$H$20="Annual",MOD(B25,12)=0),'Input-AF (Avg Insurance) '!$J$20,IF(AND('Input-AF (Avg Insurance) '!$H$20="1st Installment",B25=1),'Input-AF (Avg Insurance) '!$J$20,IF('Input-AF (Avg Insurance) '!$H$20="Monthly",'Input-AF (Avg Insurance) '!$J$20,IF(AND('Input-AF (Avg Insurance) '!$H$20="End of the loan",B25='Input-AF (Avg Insurance) '!$E$22),'Input-AF (Avg Insurance) '!$J$20,"")))),"")</f>
        <v>0</v>
      </c>
      <c r="N25" s="6">
        <f t="shared" si="0"/>
        <v>552</v>
      </c>
      <c r="O25" s="4">
        <f t="shared" si="1"/>
        <v>5509.4165516832718</v>
      </c>
      <c r="S25" s="9">
        <f t="shared" si="2"/>
        <v>45529</v>
      </c>
      <c r="T25" s="5">
        <f t="shared" si="6"/>
        <v>5509.42</v>
      </c>
      <c r="V25" s="106"/>
      <c r="W25" s="99"/>
    </row>
    <row r="26" spans="1:24" x14ac:dyDescent="0.2">
      <c r="A26" s="1">
        <f t="shared" si="3"/>
        <v>1</v>
      </c>
      <c r="B26" s="16">
        <f t="shared" si="7"/>
        <v>9</v>
      </c>
      <c r="C26" s="9">
        <f t="shared" si="8"/>
        <v>45560</v>
      </c>
      <c r="D26" s="6">
        <f>IFERROR(PPMT('Input-AF (Avg Insurance) '!$E$18/12,B26,$C$6,'Input-AF (Avg Insurance) '!$E$17,-$C$13,0)," ")</f>
        <v>-3786.1467369748311</v>
      </c>
      <c r="E26" s="6">
        <f>IFERROR(IPMT('Input-AF (Avg Insurance) '!$E$18/12,B26,$C$6,'Input-AF (Avg Insurance) '!$E$17,-$C$13,0)," ")</f>
        <v>-1171.2698147084407</v>
      </c>
      <c r="F26" s="6">
        <f t="shared" si="9"/>
        <v>-33493.112573488463</v>
      </c>
      <c r="G26" s="6">
        <f t="shared" si="10"/>
        <v>-11123.636391660979</v>
      </c>
      <c r="H26" s="6">
        <f t="shared" si="4"/>
        <v>-4957.4165516832718</v>
      </c>
      <c r="I26" s="6">
        <f t="shared" si="5"/>
        <v>266506.88742651156</v>
      </c>
      <c r="J26" s="6" t="str">
        <f>IF(B26&lt;&gt;"",IF(AND('Input-AF (Avg Insurance) '!$H$17="Annual",MOD(B26,12)=0),'Input-AF (Avg Insurance) '!$J$17,IF(AND('Input-AF (Avg Insurance) '!$H$17="1st Installment",B26=1),'Input-AF (Avg Insurance) '!$J$17,IF('Input-AF (Avg Insurance) '!$H$17="Monthly",'Input-AF (Avg Insurance) '!$J$17,""))),"")</f>
        <v/>
      </c>
      <c r="K26" s="6" t="str">
        <f>IF(B26&lt;&gt;"",IF(AND('Input-AF (Avg Insurance) '!$H$18="Annual",MOD(B26,12)=0),'Input-AF (Avg Insurance) '!$J$18,IF(AND('Input-AF (Avg Insurance) '!$H$18="1st Installment",B26=1),'Input-AF (Avg Insurance) '!$J$18,IF('Input-AF (Avg Insurance) '!$H$18="Monthly",'Input-AF (Avg Insurance) '!$J$18,""))),"")</f>
        <v/>
      </c>
      <c r="L26" s="6">
        <f>IF(B26&lt;=$C$6,(IF(B26&lt;&gt;"",IF(AND('Input-AF (Avg Insurance) '!$H$19="Annual",MOD(B26,12)=0),'Input-AF (Avg Insurance) '!$J$19,IF(AND('Input-AF (Avg Insurance) '!$H$19="1st Installment",B26=1),'Input-AF (Avg Insurance) '!$J$19,IF('Input-AF (Avg Insurance) '!$H$19="Monthly",'Input-AF (Avg Insurance) '!$J$19,""))),""))," ")</f>
        <v>552</v>
      </c>
      <c r="M26" s="6">
        <f>IF(B26&lt;&gt;"",IF(AND('Input-AF (Avg Insurance) '!$H$20="Annual",MOD(B26,12)=0),'Input-AF (Avg Insurance) '!$J$20,IF(AND('Input-AF (Avg Insurance) '!$H$20="1st Installment",B26=1),'Input-AF (Avg Insurance) '!$J$20,IF('Input-AF (Avg Insurance) '!$H$20="Monthly",'Input-AF (Avg Insurance) '!$J$20,IF(AND('Input-AF (Avg Insurance) '!$H$20="End of the loan",B26='Input-AF (Avg Insurance) '!$E$22),'Input-AF (Avg Insurance) '!$J$20,"")))),"")</f>
        <v>0</v>
      </c>
      <c r="N26" s="6">
        <f t="shared" si="0"/>
        <v>552</v>
      </c>
      <c r="O26" s="4">
        <f t="shared" si="1"/>
        <v>5509.4165516832718</v>
      </c>
      <c r="S26" s="9">
        <f t="shared" si="2"/>
        <v>45560</v>
      </c>
      <c r="T26" s="5">
        <f t="shared" si="6"/>
        <v>5509.42</v>
      </c>
      <c r="V26" s="106"/>
      <c r="W26" s="99"/>
    </row>
    <row r="27" spans="1:24" x14ac:dyDescent="0.2">
      <c r="A27" s="1">
        <f t="shared" si="3"/>
        <v>1</v>
      </c>
      <c r="B27" s="16">
        <f t="shared" si="7"/>
        <v>10</v>
      </c>
      <c r="C27" s="9">
        <f t="shared" si="8"/>
        <v>45590</v>
      </c>
      <c r="D27" s="6">
        <f>IFERROR(PPMT('Input-AF (Avg Insurance) '!$E$18/12,B27,$C$6,'Input-AF (Avg Insurance) '!$E$17,-$C$13,0)," ")</f>
        <v>-3802.5533728350551</v>
      </c>
      <c r="E27" s="6">
        <f>IFERROR(IPMT('Input-AF (Avg Insurance) '!$E$18/12,B27,$C$6,'Input-AF (Avg Insurance) '!$E$17,-$C$13,0)," ")</f>
        <v>-1154.8631788482164</v>
      </c>
      <c r="F27" s="6">
        <f t="shared" si="9"/>
        <v>-37295.665946323519</v>
      </c>
      <c r="G27" s="6">
        <f t="shared" si="10"/>
        <v>-12278.499570509195</v>
      </c>
      <c r="H27" s="6">
        <f t="shared" si="4"/>
        <v>-4957.4165516832718</v>
      </c>
      <c r="I27" s="6">
        <f t="shared" si="5"/>
        <v>262704.33405367646</v>
      </c>
      <c r="J27" s="6" t="str">
        <f>IF(B27&lt;&gt;"",IF(AND('Input-AF (Avg Insurance) '!$H$17="Annual",MOD(B27,12)=0),'Input-AF (Avg Insurance) '!$J$17,IF(AND('Input-AF (Avg Insurance) '!$H$17="1st Installment",B27=1),'Input-AF (Avg Insurance) '!$J$17,IF('Input-AF (Avg Insurance) '!$H$17="Monthly",'Input-AF (Avg Insurance) '!$J$17,""))),"")</f>
        <v/>
      </c>
      <c r="K27" s="6" t="str">
        <f>IF(B27&lt;&gt;"",IF(AND('Input-AF (Avg Insurance) '!$H$18="Annual",MOD(B27,12)=0),'Input-AF (Avg Insurance) '!$J$18,IF(AND('Input-AF (Avg Insurance) '!$H$18="1st Installment",B27=1),'Input-AF (Avg Insurance) '!$J$18,IF('Input-AF (Avg Insurance) '!$H$18="Monthly",'Input-AF (Avg Insurance) '!$J$18,""))),"")</f>
        <v/>
      </c>
      <c r="L27" s="6">
        <f>IF(B27&lt;=$C$6,(IF(B27&lt;&gt;"",IF(AND('Input-AF (Avg Insurance) '!$H$19="Annual",MOD(B27,12)=0),'Input-AF (Avg Insurance) '!$J$19,IF(AND('Input-AF (Avg Insurance) '!$H$19="1st Installment",B27=1),'Input-AF (Avg Insurance) '!$J$19,IF('Input-AF (Avg Insurance) '!$H$19="Monthly",'Input-AF (Avg Insurance) '!$J$19,""))),""))," ")</f>
        <v>552</v>
      </c>
      <c r="M27" s="6">
        <f>IF(B27&lt;&gt;"",IF(AND('Input-AF (Avg Insurance) '!$H$20="Annual",MOD(B27,12)=0),'Input-AF (Avg Insurance) '!$J$20,IF(AND('Input-AF (Avg Insurance) '!$H$20="1st Installment",B27=1),'Input-AF (Avg Insurance) '!$J$20,IF('Input-AF (Avg Insurance) '!$H$20="Monthly",'Input-AF (Avg Insurance) '!$J$20,IF(AND('Input-AF (Avg Insurance) '!$H$20="End of the loan",B27='Input-AF (Avg Insurance) '!$E$22),'Input-AF (Avg Insurance) '!$J$20,"")))),"")</f>
        <v>0</v>
      </c>
      <c r="N27" s="6">
        <f t="shared" si="0"/>
        <v>552</v>
      </c>
      <c r="O27" s="4">
        <f t="shared" si="1"/>
        <v>5509.4165516832718</v>
      </c>
      <c r="S27" s="9">
        <f t="shared" si="2"/>
        <v>45590</v>
      </c>
      <c r="T27" s="5">
        <f t="shared" si="6"/>
        <v>5509.42</v>
      </c>
      <c r="V27" s="106"/>
      <c r="W27" s="99"/>
    </row>
    <row r="28" spans="1:24" x14ac:dyDescent="0.2">
      <c r="A28" s="1">
        <f t="shared" si="3"/>
        <v>1</v>
      </c>
      <c r="B28" s="16">
        <f t="shared" si="7"/>
        <v>11</v>
      </c>
      <c r="C28" s="9">
        <f t="shared" si="8"/>
        <v>45621</v>
      </c>
      <c r="D28" s="6">
        <f>IFERROR(PPMT('Input-AF (Avg Insurance) '!$E$18/12,B28,$C$6,'Input-AF (Avg Insurance) '!$E$17,-$C$13,0)," ")</f>
        <v>-3819.0311041173409</v>
      </c>
      <c r="E28" s="6">
        <f>IFERROR(IPMT('Input-AF (Avg Insurance) '!$E$18/12,B28,$C$6,'Input-AF (Avg Insurance) '!$E$17,-$C$13,0)," ")</f>
        <v>-1138.3854475659314</v>
      </c>
      <c r="F28" s="6">
        <f t="shared" si="9"/>
        <v>-41114.69705044086</v>
      </c>
      <c r="G28" s="6">
        <f t="shared" si="10"/>
        <v>-13416.885018075127</v>
      </c>
      <c r="H28" s="6">
        <f t="shared" si="4"/>
        <v>-4957.4165516832727</v>
      </c>
      <c r="I28" s="6">
        <f t="shared" si="5"/>
        <v>258885.30294955915</v>
      </c>
      <c r="J28" s="6" t="str">
        <f>IF(B28&lt;&gt;"",IF(AND('Input-AF (Avg Insurance) '!$H$17="Annual",MOD(B28,12)=0),'Input-AF (Avg Insurance) '!$J$17,IF(AND('Input-AF (Avg Insurance) '!$H$17="1st Installment",B28=1),'Input-AF (Avg Insurance) '!$J$17,IF('Input-AF (Avg Insurance) '!$H$17="Monthly",'Input-AF (Avg Insurance) '!$J$17,""))),"")</f>
        <v/>
      </c>
      <c r="K28" s="6" t="str">
        <f>IF(B28&lt;&gt;"",IF(AND('Input-AF (Avg Insurance) '!$H$18="Annual",MOD(B28,12)=0),'Input-AF (Avg Insurance) '!$J$18,IF(AND('Input-AF (Avg Insurance) '!$H$18="1st Installment",B28=1),'Input-AF (Avg Insurance) '!$J$18,IF('Input-AF (Avg Insurance) '!$H$18="Monthly",'Input-AF (Avg Insurance) '!$J$18,""))),"")</f>
        <v/>
      </c>
      <c r="L28" s="6">
        <f>IF(B28&lt;=$C$6,(IF(B28&lt;&gt;"",IF(AND('Input-AF (Avg Insurance) '!$H$19="Annual",MOD(B28,12)=0),'Input-AF (Avg Insurance) '!$J$19,IF(AND('Input-AF (Avg Insurance) '!$H$19="1st Installment",B28=1),'Input-AF (Avg Insurance) '!$J$19,IF('Input-AF (Avg Insurance) '!$H$19="Monthly",'Input-AF (Avg Insurance) '!$J$19,""))),""))," ")</f>
        <v>552</v>
      </c>
      <c r="M28" s="6">
        <f>IF(B28&lt;&gt;"",IF(AND('Input-AF (Avg Insurance) '!$H$20="Annual",MOD(B28,12)=0),'Input-AF (Avg Insurance) '!$J$20,IF(AND('Input-AF (Avg Insurance) '!$H$20="1st Installment",B28=1),'Input-AF (Avg Insurance) '!$J$20,IF('Input-AF (Avg Insurance) '!$H$20="Monthly",'Input-AF (Avg Insurance) '!$J$20,IF(AND('Input-AF (Avg Insurance) '!$H$20="End of the loan",B28='Input-AF (Avg Insurance) '!$E$22),'Input-AF (Avg Insurance) '!$J$20,"")))),"")</f>
        <v>0</v>
      </c>
      <c r="N28" s="6">
        <f t="shared" si="0"/>
        <v>552</v>
      </c>
      <c r="O28" s="4">
        <f t="shared" si="1"/>
        <v>5509.4165516832727</v>
      </c>
      <c r="S28" s="9">
        <f t="shared" si="2"/>
        <v>45621</v>
      </c>
      <c r="T28" s="5">
        <f t="shared" si="6"/>
        <v>5509.42</v>
      </c>
      <c r="V28" s="106"/>
      <c r="W28" s="99"/>
    </row>
    <row r="29" spans="1:24" x14ac:dyDescent="0.2">
      <c r="A29" s="1">
        <f t="shared" si="3"/>
        <v>1</v>
      </c>
      <c r="B29" s="16">
        <f t="shared" si="7"/>
        <v>12</v>
      </c>
      <c r="C29" s="9">
        <f t="shared" si="8"/>
        <v>45651</v>
      </c>
      <c r="D29" s="6">
        <f>IFERROR(PPMT('Input-AF (Avg Insurance) '!$E$18/12,B29,$C$6,'Input-AF (Avg Insurance) '!$E$17,-$C$13,0)," ")</f>
        <v>-3835.5802389018486</v>
      </c>
      <c r="E29" s="6">
        <f>IFERROR(IPMT('Input-AF (Avg Insurance) '!$E$18/12,B29,$C$6,'Input-AF (Avg Insurance) '!$E$17,-$C$13,0)," ")</f>
        <v>-1121.8363127814227</v>
      </c>
      <c r="F29" s="6">
        <f t="shared" si="9"/>
        <v>-44950.27728934271</v>
      </c>
      <c r="G29" s="6">
        <f t="shared" si="10"/>
        <v>-14538.72133085655</v>
      </c>
      <c r="H29" s="6">
        <f t="shared" si="4"/>
        <v>-4957.4165516832709</v>
      </c>
      <c r="I29" s="6">
        <f t="shared" si="5"/>
        <v>255049.72271065728</v>
      </c>
      <c r="J29" s="6" t="str">
        <f>IF(B29&lt;&gt;"",IF(AND('Input-AF (Avg Insurance) '!$H$17="Annual",MOD(B29,12)=0),'Input-AF (Avg Insurance) '!$J$17,IF(AND('Input-AF (Avg Insurance) '!$H$17="1st Installment",B29=1),'Input-AF (Avg Insurance) '!$J$17,IF('Input-AF (Avg Insurance) '!$H$17="Monthly",'Input-AF (Avg Insurance) '!$J$17,""))),"")</f>
        <v/>
      </c>
      <c r="K29" s="6">
        <f>IF(B29&lt;&gt;"",IF(AND('Input-AF (Avg Insurance) '!$H$18="Annual",MOD(B29,12)=0),'Input-AF (Avg Insurance) '!$J$18,IF(AND('Input-AF (Avg Insurance) '!$H$18="1st Installment",B29=1),'Input-AF (Avg Insurance) '!$J$18,IF('Input-AF (Avg Insurance) '!$H$18="Monthly",'Input-AF (Avg Insurance) '!$J$18,""))),"")</f>
        <v>0</v>
      </c>
      <c r="L29" s="6">
        <f>IF(B29&lt;=$C$6,(IF(B29&lt;&gt;"",IF(AND('Input-AF (Avg Insurance) '!$H$19="Annual",MOD(B29,12)=0),'Input-AF (Avg Insurance) '!$J$19,IF(AND('Input-AF (Avg Insurance) '!$H$19="1st Installment",B29=1),'Input-AF (Avg Insurance) '!$J$19,IF('Input-AF (Avg Insurance) '!$H$19="Monthly",'Input-AF (Avg Insurance) '!$J$19,""))),""))," ")</f>
        <v>552</v>
      </c>
      <c r="M29" s="6">
        <f>IF(B29&lt;&gt;"",IF(AND('Input-AF (Avg Insurance) '!$H$20="Annual",MOD(B29,12)=0),'Input-AF (Avg Insurance) '!$J$20,IF(AND('Input-AF (Avg Insurance) '!$H$20="1st Installment",B29=1),'Input-AF (Avg Insurance) '!$J$20,IF('Input-AF (Avg Insurance) '!$H$20="Monthly",'Input-AF (Avg Insurance) '!$J$20,IF(AND('Input-AF (Avg Insurance) '!$H$20="End of the loan",B29='Input-AF (Avg Insurance) '!$E$22),'Input-AF (Avg Insurance) '!$J$20,"")))),"")</f>
        <v>0</v>
      </c>
      <c r="N29" s="6">
        <f t="shared" si="0"/>
        <v>552</v>
      </c>
      <c r="O29" s="4">
        <f t="shared" si="1"/>
        <v>5509.4165516832709</v>
      </c>
      <c r="S29" s="9">
        <f t="shared" si="2"/>
        <v>45651</v>
      </c>
      <c r="T29" s="5">
        <f t="shared" si="6"/>
        <v>5509.42</v>
      </c>
      <c r="V29" s="106"/>
      <c r="W29" s="99"/>
    </row>
    <row r="30" spans="1:24" x14ac:dyDescent="0.2">
      <c r="A30" s="1">
        <f>IF(B30&lt;&gt;"",2,"")</f>
        <v>2</v>
      </c>
      <c r="B30" s="16">
        <f t="shared" si="7"/>
        <v>13</v>
      </c>
      <c r="C30" s="9">
        <f t="shared" si="8"/>
        <v>45682</v>
      </c>
      <c r="D30" s="6">
        <f>IFERROR(PPMT('Input-AF (Avg Insurance) '!$E$18/12,B30,$C$6,'Input-AF (Avg Insurance) '!$E$17,-$C$13,0)," ")</f>
        <v>-3852.2010866037567</v>
      </c>
      <c r="E30" s="6">
        <f>IFERROR(IPMT('Input-AF (Avg Insurance) '!$E$18/12,B30,$C$6,'Input-AF (Avg Insurance) '!$E$17,-$C$13,0)," ")</f>
        <v>-1105.2154650795146</v>
      </c>
      <c r="F30" s="6">
        <f t="shared" si="9"/>
        <v>-48802.47837594647</v>
      </c>
      <c r="G30" s="6">
        <f t="shared" si="10"/>
        <v>-15643.936795936064</v>
      </c>
      <c r="H30" s="6">
        <f t="shared" si="4"/>
        <v>-4957.4165516832709</v>
      </c>
      <c r="I30" s="6">
        <f t="shared" si="5"/>
        <v>251197.52162405354</v>
      </c>
      <c r="J30" s="6" t="str">
        <f>IF(B30&lt;&gt;"",IF(AND('Input-AF (Avg Insurance) '!$H$17="Annual",MOD(B30,12)=0),'Input-AF (Avg Insurance) '!$J$17,IF(AND('Input-AF (Avg Insurance) '!$H$17="1st Installment",B30=1),'Input-AF (Avg Insurance) '!$J$17,IF('Input-AF (Avg Insurance) '!$H$17="Monthly",'Input-AF (Avg Insurance) '!$J$17,""))),"")</f>
        <v/>
      </c>
      <c r="K30" s="6" t="str">
        <f>IF(B30&lt;&gt;"",IF(AND('Input-AF (Avg Insurance) '!$H$18="Annual",MOD(B30,12)=0),'Input-AF (Avg Insurance) '!$J$18,IF(AND('Input-AF (Avg Insurance) '!$H$18="1st Installment",B30=1),'Input-AF (Avg Insurance) '!$J$18,IF('Input-AF (Avg Insurance) '!$H$18="Monthly",'Input-AF (Avg Insurance) '!$J$18,""))),"")</f>
        <v/>
      </c>
      <c r="L30" s="6">
        <f>IF(B30&lt;=$C$6,(IF(B30&lt;&gt;"",IF(AND('Input-AF (Avg Insurance) '!$H$19="Annual",MOD(B30,12)=0),'Input-AF (Avg Insurance) '!$J$19,IF(AND('Input-AF (Avg Insurance) '!$H$19="1st Installment",B30=1),'Input-AF (Avg Insurance) '!$J$19,IF('Input-AF (Avg Insurance) '!$H$19="Monthly",'Input-AF (Avg Insurance) '!$J$19,""))),""))," ")</f>
        <v>552</v>
      </c>
      <c r="M30" s="6">
        <f>IF(B30&lt;&gt;"",IF(AND('Input-AF (Avg Insurance) '!$H$20="Annual",MOD(B30,12)=0),'Input-AF (Avg Insurance) '!$J$20,IF(AND('Input-AF (Avg Insurance) '!$H$20="1st Installment",B30=1),'Input-AF (Avg Insurance) '!$J$20,IF('Input-AF (Avg Insurance) '!$H$20="Monthly",'Input-AF (Avg Insurance) '!$J$20,IF(AND('Input-AF (Avg Insurance) '!$H$20="End of the loan",B30='Input-AF (Avg Insurance) '!$E$22),'Input-AF (Avg Insurance) '!$J$20,"")))),"")</f>
        <v>0</v>
      </c>
      <c r="N30" s="6">
        <f t="shared" si="0"/>
        <v>552</v>
      </c>
      <c r="O30" s="4">
        <f t="shared" si="1"/>
        <v>5509.4165516832709</v>
      </c>
      <c r="S30" s="9">
        <f t="shared" si="2"/>
        <v>45682</v>
      </c>
      <c r="T30" s="5">
        <f t="shared" si="6"/>
        <v>5509.42</v>
      </c>
      <c r="V30" s="106"/>
      <c r="W30" s="99"/>
    </row>
    <row r="31" spans="1:24" x14ac:dyDescent="0.2">
      <c r="A31" s="1">
        <f t="shared" ref="A31:A41" si="11">IF(B31&lt;&gt;"",2,"")</f>
        <v>2</v>
      </c>
      <c r="B31" s="16">
        <f t="shared" si="7"/>
        <v>14</v>
      </c>
      <c r="C31" s="9">
        <f t="shared" si="8"/>
        <v>45713</v>
      </c>
      <c r="D31" s="6">
        <f>IFERROR(PPMT('Input-AF (Avg Insurance) '!$E$18/12,B31,$C$6,'Input-AF (Avg Insurance) '!$E$17,-$C$13,0)," ")</f>
        <v>-3868.8939579790399</v>
      </c>
      <c r="E31" s="6">
        <f>IFERROR(IPMT('Input-AF (Avg Insurance) '!$E$18/12,B31,$C$6,'Input-AF (Avg Insurance) '!$E$17,-$C$13,0)," ")</f>
        <v>-1088.5225937042317</v>
      </c>
      <c r="F31" s="6">
        <f t="shared" si="9"/>
        <v>-52671.372333925508</v>
      </c>
      <c r="G31" s="6">
        <f t="shared" si="10"/>
        <v>-16732.459389640295</v>
      </c>
      <c r="H31" s="6">
        <f t="shared" si="4"/>
        <v>-4957.4165516832718</v>
      </c>
      <c r="I31" s="6">
        <f t="shared" si="5"/>
        <v>247328.62766607449</v>
      </c>
      <c r="J31" s="6" t="str">
        <f>IF(B31&lt;&gt;"",IF(AND('Input-AF (Avg Insurance) '!$H$17="Annual",MOD(B31,12)=0),'Input-AF (Avg Insurance) '!$J$17,IF(AND('Input-AF (Avg Insurance) '!$H$17="1st Installment",B31=1),'Input-AF (Avg Insurance) '!$J$17,IF('Input-AF (Avg Insurance) '!$H$17="Monthly",'Input-AF (Avg Insurance) '!$J$17,""))),"")</f>
        <v/>
      </c>
      <c r="K31" s="6" t="str">
        <f>IF(B31&lt;&gt;"",IF(AND('Input-AF (Avg Insurance) '!$H$18="Annual",MOD(B31,12)=0),'Input-AF (Avg Insurance) '!$J$18,IF(AND('Input-AF (Avg Insurance) '!$H$18="1st Installment",B31=1),'Input-AF (Avg Insurance) '!$J$18,IF('Input-AF (Avg Insurance) '!$H$18="Monthly",'Input-AF (Avg Insurance) '!$J$18,""))),"")</f>
        <v/>
      </c>
      <c r="L31" s="6">
        <f>IF(B31&lt;=$C$6,(IF(B31&lt;&gt;"",IF(AND('Input-AF (Avg Insurance) '!$H$19="Annual",MOD(B31,12)=0),'Input-AF (Avg Insurance) '!$J$19,IF(AND('Input-AF (Avg Insurance) '!$H$19="1st Installment",B31=1),'Input-AF (Avg Insurance) '!$J$19,IF('Input-AF (Avg Insurance) '!$H$19="Monthly",'Input-AF (Avg Insurance) '!$J$19,""))),""))," ")</f>
        <v>552</v>
      </c>
      <c r="M31" s="6">
        <f>IF(B31&lt;&gt;"",IF(AND('Input-AF (Avg Insurance) '!$H$20="Annual",MOD(B31,12)=0),'Input-AF (Avg Insurance) '!$J$20,IF(AND('Input-AF (Avg Insurance) '!$H$20="1st Installment",B31=1),'Input-AF (Avg Insurance) '!$J$20,IF('Input-AF (Avg Insurance) '!$H$20="Monthly",'Input-AF (Avg Insurance) '!$J$20,IF(AND('Input-AF (Avg Insurance) '!$H$20="End of the loan",B31='Input-AF (Avg Insurance) '!$E$22),'Input-AF (Avg Insurance) '!$J$20,"")))),"")</f>
        <v>0</v>
      </c>
      <c r="N31" s="6">
        <f t="shared" si="0"/>
        <v>552</v>
      </c>
      <c r="O31" s="4">
        <f t="shared" si="1"/>
        <v>5509.4165516832718</v>
      </c>
      <c r="S31" s="9">
        <f t="shared" si="2"/>
        <v>45713</v>
      </c>
      <c r="T31" s="5">
        <f t="shared" si="6"/>
        <v>5509.42</v>
      </c>
      <c r="V31" s="106"/>
      <c r="W31" s="99"/>
    </row>
    <row r="32" spans="1:24" x14ac:dyDescent="0.2">
      <c r="A32" s="1">
        <f t="shared" si="11"/>
        <v>2</v>
      </c>
      <c r="B32" s="16">
        <f t="shared" si="7"/>
        <v>15</v>
      </c>
      <c r="C32" s="9">
        <f t="shared" si="8"/>
        <v>45741</v>
      </c>
      <c r="D32" s="6">
        <f>IFERROR(PPMT('Input-AF (Avg Insurance) '!$E$18/12,B32,$C$6,'Input-AF (Avg Insurance) '!$E$17,-$C$13,0)," ")</f>
        <v>-3885.6591651302824</v>
      </c>
      <c r="E32" s="6">
        <f>IFERROR(IPMT('Input-AF (Avg Insurance) '!$E$18/12,B32,$C$6,'Input-AF (Avg Insurance) '!$E$17,-$C$13,0)," ")</f>
        <v>-1071.7573865529894</v>
      </c>
      <c r="F32" s="6">
        <f t="shared" si="9"/>
        <v>-56557.031499055789</v>
      </c>
      <c r="G32" s="6">
        <f t="shared" si="10"/>
        <v>-17804.216776193283</v>
      </c>
      <c r="H32" s="6">
        <f t="shared" si="4"/>
        <v>-4957.4165516832718</v>
      </c>
      <c r="I32" s="6">
        <f t="shared" si="5"/>
        <v>243442.9685009442</v>
      </c>
      <c r="J32" s="6" t="str">
        <f>IF(B32&lt;&gt;"",IF(AND('Input-AF (Avg Insurance) '!$H$17="Annual",MOD(B32,12)=0),'Input-AF (Avg Insurance) '!$J$17,IF(AND('Input-AF (Avg Insurance) '!$H$17="1st Installment",B32=1),'Input-AF (Avg Insurance) '!$J$17,IF('Input-AF (Avg Insurance) '!$H$17="Monthly",'Input-AF (Avg Insurance) '!$J$17,""))),"")</f>
        <v/>
      </c>
      <c r="K32" s="6" t="str">
        <f>IF(B32&lt;&gt;"",IF(AND('Input-AF (Avg Insurance) '!$H$18="Annual",MOD(B32,12)=0),'Input-AF (Avg Insurance) '!$J$18,IF(AND('Input-AF (Avg Insurance) '!$H$18="1st Installment",B32=1),'Input-AF (Avg Insurance) '!$J$18,IF('Input-AF (Avg Insurance) '!$H$18="Monthly",'Input-AF (Avg Insurance) '!$J$18,""))),"")</f>
        <v/>
      </c>
      <c r="L32" s="6">
        <f>IF(B32&lt;=$C$6,(IF(B32&lt;&gt;"",IF(AND('Input-AF (Avg Insurance) '!$H$19="Annual",MOD(B32,12)=0),'Input-AF (Avg Insurance) '!$J$19,IF(AND('Input-AF (Avg Insurance) '!$H$19="1st Installment",B32=1),'Input-AF (Avg Insurance) '!$J$19,IF('Input-AF (Avg Insurance) '!$H$19="Monthly",'Input-AF (Avg Insurance) '!$J$19,""))),""))," ")</f>
        <v>552</v>
      </c>
      <c r="M32" s="6">
        <f>IF(B32&lt;&gt;"",IF(AND('Input-AF (Avg Insurance) '!$H$20="Annual",MOD(B32,12)=0),'Input-AF (Avg Insurance) '!$J$20,IF(AND('Input-AF (Avg Insurance) '!$H$20="1st Installment",B32=1),'Input-AF (Avg Insurance) '!$J$20,IF('Input-AF (Avg Insurance) '!$H$20="Monthly",'Input-AF (Avg Insurance) '!$J$20,IF(AND('Input-AF (Avg Insurance) '!$H$20="End of the loan",B32='Input-AF (Avg Insurance) '!$E$22),'Input-AF (Avg Insurance) '!$J$20,"")))),"")</f>
        <v>0</v>
      </c>
      <c r="N32" s="6">
        <f t="shared" si="0"/>
        <v>552</v>
      </c>
      <c r="O32" s="4">
        <f t="shared" si="1"/>
        <v>5509.4165516832718</v>
      </c>
      <c r="S32" s="9">
        <f t="shared" si="2"/>
        <v>45741</v>
      </c>
      <c r="T32" s="5">
        <f t="shared" si="6"/>
        <v>5509.42</v>
      </c>
      <c r="V32" s="106"/>
      <c r="W32" s="99"/>
    </row>
    <row r="33" spans="1:23" x14ac:dyDescent="0.2">
      <c r="A33" s="1">
        <f t="shared" si="11"/>
        <v>2</v>
      </c>
      <c r="B33" s="16">
        <f t="shared" si="7"/>
        <v>16</v>
      </c>
      <c r="C33" s="9">
        <f t="shared" si="8"/>
        <v>45772</v>
      </c>
      <c r="D33" s="6">
        <f>IFERROR(PPMT('Input-AF (Avg Insurance) '!$E$18/12,B33,$C$6,'Input-AF (Avg Insurance) '!$E$17,-$C$13,0)," ")</f>
        <v>-3902.4970215125136</v>
      </c>
      <c r="E33" s="6">
        <f>IFERROR(IPMT('Input-AF (Avg Insurance) '!$E$18/12,B33,$C$6,'Input-AF (Avg Insurance) '!$E$17,-$C$13,0)," ")</f>
        <v>-1054.919530170758</v>
      </c>
      <c r="F33" s="6">
        <f t="shared" si="9"/>
        <v>-60459.528520568303</v>
      </c>
      <c r="G33" s="6">
        <f t="shared" si="10"/>
        <v>-18859.136306364042</v>
      </c>
      <c r="H33" s="6">
        <f t="shared" si="4"/>
        <v>-4957.4165516832718</v>
      </c>
      <c r="I33" s="6">
        <f t="shared" si="5"/>
        <v>239540.4714794317</v>
      </c>
      <c r="J33" s="6" t="str">
        <f>IF(B33&lt;&gt;"",IF(AND('Input-AF (Avg Insurance) '!$H$17="Annual",MOD(B33,12)=0),'Input-AF (Avg Insurance) '!$J$17,IF(AND('Input-AF (Avg Insurance) '!$H$17="1st Installment",B33=1),'Input-AF (Avg Insurance) '!$J$17,IF('Input-AF (Avg Insurance) '!$H$17="Monthly",'Input-AF (Avg Insurance) '!$J$17,""))),"")</f>
        <v/>
      </c>
      <c r="K33" s="6" t="str">
        <f>IF(B33&lt;&gt;"",IF(AND('Input-AF (Avg Insurance) '!$H$18="Annual",MOD(B33,12)=0),'Input-AF (Avg Insurance) '!$J$18,IF(AND('Input-AF (Avg Insurance) '!$H$18="1st Installment",B33=1),'Input-AF (Avg Insurance) '!$J$18,IF('Input-AF (Avg Insurance) '!$H$18="Monthly",'Input-AF (Avg Insurance) '!$J$18,""))),"")</f>
        <v/>
      </c>
      <c r="L33" s="6">
        <f>IF(B33&lt;=$C$6,(IF(B33&lt;&gt;"",IF(AND('Input-AF (Avg Insurance) '!$H$19="Annual",MOD(B33,12)=0),'Input-AF (Avg Insurance) '!$J$19,IF(AND('Input-AF (Avg Insurance) '!$H$19="1st Installment",B33=1),'Input-AF (Avg Insurance) '!$J$19,IF('Input-AF (Avg Insurance) '!$H$19="Monthly",'Input-AF (Avg Insurance) '!$J$19,""))),""))," ")</f>
        <v>552</v>
      </c>
      <c r="M33" s="6">
        <f>IF(B33&lt;&gt;"",IF(AND('Input-AF (Avg Insurance) '!$H$20="Annual",MOD(B33,12)=0),'Input-AF (Avg Insurance) '!$J$20,IF(AND('Input-AF (Avg Insurance) '!$H$20="1st Installment",B33=1),'Input-AF (Avg Insurance) '!$J$20,IF('Input-AF (Avg Insurance) '!$H$20="Monthly",'Input-AF (Avg Insurance) '!$J$20,IF(AND('Input-AF (Avg Insurance) '!$H$20="End of the loan",B33='Input-AF (Avg Insurance) '!$E$22),'Input-AF (Avg Insurance) '!$J$20,"")))),"")</f>
        <v>0</v>
      </c>
      <c r="N33" s="6">
        <f t="shared" si="0"/>
        <v>552</v>
      </c>
      <c r="O33" s="4">
        <f t="shared" si="1"/>
        <v>5509.4165516832718</v>
      </c>
      <c r="S33" s="9">
        <f t="shared" si="2"/>
        <v>45772</v>
      </c>
      <c r="T33" s="5">
        <f t="shared" si="6"/>
        <v>5509.42</v>
      </c>
      <c r="V33" s="106"/>
      <c r="W33" s="99"/>
    </row>
    <row r="34" spans="1:23" x14ac:dyDescent="0.2">
      <c r="A34" s="1">
        <f t="shared" si="11"/>
        <v>2</v>
      </c>
      <c r="B34" s="16">
        <f t="shared" si="7"/>
        <v>17</v>
      </c>
      <c r="C34" s="9">
        <f t="shared" si="8"/>
        <v>45802</v>
      </c>
      <c r="D34" s="6">
        <f>IFERROR(PPMT('Input-AF (Avg Insurance) '!$E$18/12,B34,$C$6,'Input-AF (Avg Insurance) '!$E$17,-$C$13,0)," ")</f>
        <v>-3919.4078419390676</v>
      </c>
      <c r="E34" s="6">
        <f>IFERROR(IPMT('Input-AF (Avg Insurance) '!$E$18/12,B34,$C$6,'Input-AF (Avg Insurance) '!$E$17,-$C$13,0)," ")</f>
        <v>-1038.008709744204</v>
      </c>
      <c r="F34" s="6">
        <f t="shared" si="9"/>
        <v>-64378.936362507367</v>
      </c>
      <c r="G34" s="6">
        <f t="shared" si="10"/>
        <v>-19897.145016108247</v>
      </c>
      <c r="H34" s="6">
        <f t="shared" si="4"/>
        <v>-4957.4165516832718</v>
      </c>
      <c r="I34" s="6">
        <f t="shared" si="5"/>
        <v>235621.06363749263</v>
      </c>
      <c r="J34" s="6" t="str">
        <f>IF(B34&lt;&gt;"",IF(AND('Input-AF (Avg Insurance) '!$H$17="Annual",MOD(B34,12)=0),'Input-AF (Avg Insurance) '!$J$17,IF(AND('Input-AF (Avg Insurance) '!$H$17="1st Installment",B34=1),'Input-AF (Avg Insurance) '!$J$17,IF('Input-AF (Avg Insurance) '!$H$17="Monthly",'Input-AF (Avg Insurance) '!$J$17,""))),"")</f>
        <v/>
      </c>
      <c r="K34" s="6" t="str">
        <f>IF(B34&lt;&gt;"",IF(AND('Input-AF (Avg Insurance) '!$H$18="Annual",MOD(B34,12)=0),'Input-AF (Avg Insurance) '!$J$18,IF(AND('Input-AF (Avg Insurance) '!$H$18="1st Installment",B34=1),'Input-AF (Avg Insurance) '!$J$18,IF('Input-AF (Avg Insurance) '!$H$18="Monthly",'Input-AF (Avg Insurance) '!$J$18,""))),"")</f>
        <v/>
      </c>
      <c r="L34" s="6">
        <f>IF(B34&lt;=$C$6,(IF(B34&lt;&gt;"",IF(AND('Input-AF (Avg Insurance) '!$H$19="Annual",MOD(B34,12)=0),'Input-AF (Avg Insurance) '!$J$19,IF(AND('Input-AF (Avg Insurance) '!$H$19="1st Installment",B34=1),'Input-AF (Avg Insurance) '!$J$19,IF('Input-AF (Avg Insurance) '!$H$19="Monthly",'Input-AF (Avg Insurance) '!$J$19,""))),""))," ")</f>
        <v>552</v>
      </c>
      <c r="M34" s="6">
        <f>IF(B34&lt;&gt;"",IF(AND('Input-AF (Avg Insurance) '!$H$20="Annual",MOD(B34,12)=0),'Input-AF (Avg Insurance) '!$J$20,IF(AND('Input-AF (Avg Insurance) '!$H$20="1st Installment",B34=1),'Input-AF (Avg Insurance) '!$J$20,IF('Input-AF (Avg Insurance) '!$H$20="Monthly",'Input-AF (Avg Insurance) '!$J$20,IF(AND('Input-AF (Avg Insurance) '!$H$20="End of the loan",B34='Input-AF (Avg Insurance) '!$E$22),'Input-AF (Avg Insurance) '!$J$20,"")))),"")</f>
        <v>0</v>
      </c>
      <c r="N34" s="6">
        <f t="shared" si="0"/>
        <v>552</v>
      </c>
      <c r="O34" s="4">
        <f t="shared" si="1"/>
        <v>5509.4165516832718</v>
      </c>
      <c r="S34" s="9">
        <f t="shared" si="2"/>
        <v>45802</v>
      </c>
      <c r="T34" s="5">
        <f t="shared" si="6"/>
        <v>5509.42</v>
      </c>
      <c r="V34" s="106"/>
      <c r="W34" s="99"/>
    </row>
    <row r="35" spans="1:23" x14ac:dyDescent="0.2">
      <c r="A35" s="1">
        <f t="shared" si="11"/>
        <v>2</v>
      </c>
      <c r="B35" s="16">
        <f t="shared" si="7"/>
        <v>18</v>
      </c>
      <c r="C35" s="9">
        <f t="shared" si="8"/>
        <v>45833</v>
      </c>
      <c r="D35" s="6">
        <f>IFERROR(PPMT('Input-AF (Avg Insurance) '!$E$18/12,B35,$C$6,'Input-AF (Avg Insurance) '!$E$17,-$C$13,0)," ")</f>
        <v>-3936.3919425874706</v>
      </c>
      <c r="E35" s="6">
        <f>IFERROR(IPMT('Input-AF (Avg Insurance) '!$E$18/12,B35,$C$6,'Input-AF (Avg Insurance) '!$E$17,-$C$13,0)," ")</f>
        <v>-1021.0246090958011</v>
      </c>
      <c r="F35" s="6">
        <f t="shared" si="9"/>
        <v>-68315.328305094838</v>
      </c>
      <c r="G35" s="6">
        <f t="shared" si="10"/>
        <v>-20918.169625204049</v>
      </c>
      <c r="H35" s="6">
        <f t="shared" si="4"/>
        <v>-4957.4165516832718</v>
      </c>
      <c r="I35" s="6">
        <f t="shared" si="5"/>
        <v>231684.67169490515</v>
      </c>
      <c r="J35" s="6" t="str">
        <f>IF(B35&lt;&gt;"",IF(AND('Input-AF (Avg Insurance) '!$H$17="Annual",MOD(B35,12)=0),'Input-AF (Avg Insurance) '!$J$17,IF(AND('Input-AF (Avg Insurance) '!$H$17="1st Installment",B35=1),'Input-AF (Avg Insurance) '!$J$17,IF('Input-AF (Avg Insurance) '!$H$17="Monthly",'Input-AF (Avg Insurance) '!$J$17,""))),"")</f>
        <v/>
      </c>
      <c r="K35" s="6" t="str">
        <f>IF(B35&lt;&gt;"",IF(AND('Input-AF (Avg Insurance) '!$H$18="Annual",MOD(B35,12)=0),'Input-AF (Avg Insurance) '!$J$18,IF(AND('Input-AF (Avg Insurance) '!$H$18="1st Installment",B35=1),'Input-AF (Avg Insurance) '!$J$18,IF('Input-AF (Avg Insurance) '!$H$18="Monthly",'Input-AF (Avg Insurance) '!$J$18,""))),"")</f>
        <v/>
      </c>
      <c r="L35" s="6">
        <f>IF(B35&lt;=$C$6,(IF(B35&lt;&gt;"",IF(AND('Input-AF (Avg Insurance) '!$H$19="Annual",MOD(B35,12)=0),'Input-AF (Avg Insurance) '!$J$19,IF(AND('Input-AF (Avg Insurance) '!$H$19="1st Installment",B35=1),'Input-AF (Avg Insurance) '!$J$19,IF('Input-AF (Avg Insurance) '!$H$19="Monthly",'Input-AF (Avg Insurance) '!$J$19,""))),""))," ")</f>
        <v>552</v>
      </c>
      <c r="M35" s="6">
        <f>IF(B35&lt;&gt;"",IF(AND('Input-AF (Avg Insurance) '!$H$20="Annual",MOD(B35,12)=0),'Input-AF (Avg Insurance) '!$J$20,IF(AND('Input-AF (Avg Insurance) '!$H$20="1st Installment",B35=1),'Input-AF (Avg Insurance) '!$J$20,IF('Input-AF (Avg Insurance) '!$H$20="Monthly",'Input-AF (Avg Insurance) '!$J$20,IF(AND('Input-AF (Avg Insurance) '!$H$20="End of the loan",B35='Input-AF (Avg Insurance) '!$E$22),'Input-AF (Avg Insurance) '!$J$20,"")))),"")</f>
        <v>0</v>
      </c>
      <c r="N35" s="6">
        <f t="shared" si="0"/>
        <v>552</v>
      </c>
      <c r="O35" s="4">
        <f t="shared" si="1"/>
        <v>5509.4165516832718</v>
      </c>
      <c r="S35" s="9">
        <f t="shared" si="2"/>
        <v>45833</v>
      </c>
      <c r="T35" s="5">
        <f t="shared" si="6"/>
        <v>5509.42</v>
      </c>
      <c r="V35" s="106"/>
      <c r="W35" s="99"/>
    </row>
    <row r="36" spans="1:23" x14ac:dyDescent="0.2">
      <c r="A36" s="1">
        <f t="shared" si="11"/>
        <v>2</v>
      </c>
      <c r="B36" s="16">
        <f t="shared" si="7"/>
        <v>19</v>
      </c>
      <c r="C36" s="9">
        <f t="shared" si="8"/>
        <v>45863</v>
      </c>
      <c r="D36" s="6">
        <f>IFERROR(PPMT('Input-AF (Avg Insurance) '!$E$18/12,B36,$C$6,'Input-AF (Avg Insurance) '!$E$17,-$C$13,0)," ")</f>
        <v>-3953.4496410053498</v>
      </c>
      <c r="E36" s="6">
        <f>IFERROR(IPMT('Input-AF (Avg Insurance) '!$E$18/12,B36,$C$6,'Input-AF (Avg Insurance) '!$E$17,-$C$13,0)," ")</f>
        <v>-1003.9669106779222</v>
      </c>
      <c r="F36" s="6">
        <f t="shared" si="9"/>
        <v>-72268.777946100192</v>
      </c>
      <c r="G36" s="6">
        <f t="shared" si="10"/>
        <v>-21922.136535881971</v>
      </c>
      <c r="H36" s="6">
        <f t="shared" si="4"/>
        <v>-4957.4165516832718</v>
      </c>
      <c r="I36" s="6">
        <f t="shared" si="5"/>
        <v>227731.22205389981</v>
      </c>
      <c r="J36" s="6" t="str">
        <f>IF(B36&lt;&gt;"",IF(AND('Input-AF (Avg Insurance) '!$H$17="Annual",MOD(B36,12)=0),'Input-AF (Avg Insurance) '!$J$17,IF(AND('Input-AF (Avg Insurance) '!$H$17="1st Installment",B36=1),'Input-AF (Avg Insurance) '!$J$17,IF('Input-AF (Avg Insurance) '!$H$17="Monthly",'Input-AF (Avg Insurance) '!$J$17,""))),"")</f>
        <v/>
      </c>
      <c r="K36" s="6" t="str">
        <f>IF(B36&lt;&gt;"",IF(AND('Input-AF (Avg Insurance) '!$H$18="Annual",MOD(B36,12)=0),'Input-AF (Avg Insurance) '!$J$18,IF(AND('Input-AF (Avg Insurance) '!$H$18="1st Installment",B36=1),'Input-AF (Avg Insurance) '!$J$18,IF('Input-AF (Avg Insurance) '!$H$18="Monthly",'Input-AF (Avg Insurance) '!$J$18,""))),"")</f>
        <v/>
      </c>
      <c r="L36" s="6">
        <f>IF(B36&lt;=$C$6,(IF(B36&lt;&gt;"",IF(AND('Input-AF (Avg Insurance) '!$H$19="Annual",MOD(B36,12)=0),'Input-AF (Avg Insurance) '!$J$19,IF(AND('Input-AF (Avg Insurance) '!$H$19="1st Installment",B36=1),'Input-AF (Avg Insurance) '!$J$19,IF('Input-AF (Avg Insurance) '!$H$19="Monthly",'Input-AF (Avg Insurance) '!$J$19,""))),""))," ")</f>
        <v>552</v>
      </c>
      <c r="M36" s="6">
        <f>IF(B36&lt;&gt;"",IF(AND('Input-AF (Avg Insurance) '!$H$20="Annual",MOD(B36,12)=0),'Input-AF (Avg Insurance) '!$J$20,IF(AND('Input-AF (Avg Insurance) '!$H$20="1st Installment",B36=1),'Input-AF (Avg Insurance) '!$J$20,IF('Input-AF (Avg Insurance) '!$H$20="Monthly",'Input-AF (Avg Insurance) '!$J$20,IF(AND('Input-AF (Avg Insurance) '!$H$20="End of the loan",B36='Input-AF (Avg Insurance) '!$E$22),'Input-AF (Avg Insurance) '!$J$20,"")))),"")</f>
        <v>0</v>
      </c>
      <c r="N36" s="6">
        <f t="shared" si="0"/>
        <v>552</v>
      </c>
      <c r="O36" s="4">
        <f t="shared" si="1"/>
        <v>5509.4165516832718</v>
      </c>
      <c r="S36" s="9">
        <f t="shared" si="2"/>
        <v>45863</v>
      </c>
      <c r="T36" s="5">
        <f t="shared" si="6"/>
        <v>5509.42</v>
      </c>
      <c r="V36" s="106"/>
      <c r="W36" s="99"/>
    </row>
    <row r="37" spans="1:23" x14ac:dyDescent="0.2">
      <c r="A37" s="1">
        <f t="shared" si="11"/>
        <v>2</v>
      </c>
      <c r="B37" s="16">
        <f t="shared" si="7"/>
        <v>20</v>
      </c>
      <c r="C37" s="9">
        <f t="shared" si="8"/>
        <v>45894</v>
      </c>
      <c r="D37" s="6">
        <f>IFERROR(PPMT('Input-AF (Avg Insurance) '!$E$18/12,B37,$C$6,'Input-AF (Avg Insurance) '!$E$17,-$C$13,0)," ")</f>
        <v>-3970.581256116373</v>
      </c>
      <c r="E37" s="6">
        <f>IFERROR(IPMT('Input-AF (Avg Insurance) '!$E$18/12,B37,$C$6,'Input-AF (Avg Insurance) '!$E$17,-$C$13,0)," ")</f>
        <v>-986.83529556689905</v>
      </c>
      <c r="F37" s="6">
        <f t="shared" si="9"/>
        <v>-76239.359202216569</v>
      </c>
      <c r="G37" s="6">
        <f t="shared" si="10"/>
        <v>-22908.971831448871</v>
      </c>
      <c r="H37" s="6">
        <f t="shared" si="4"/>
        <v>-4957.4165516832718</v>
      </c>
      <c r="I37" s="6">
        <f t="shared" si="5"/>
        <v>223760.64079778345</v>
      </c>
      <c r="J37" s="6" t="str">
        <f>IF(B37&lt;&gt;"",IF(AND('Input-AF (Avg Insurance) '!$H$17="Annual",MOD(B37,12)=0),'Input-AF (Avg Insurance) '!$J$17,IF(AND('Input-AF (Avg Insurance) '!$H$17="1st Installment",B37=1),'Input-AF (Avg Insurance) '!$J$17,IF('Input-AF (Avg Insurance) '!$H$17="Monthly",'Input-AF (Avg Insurance) '!$J$17,""))),"")</f>
        <v/>
      </c>
      <c r="K37" s="6" t="str">
        <f>IF(B37&lt;&gt;"",IF(AND('Input-AF (Avg Insurance) '!$H$18="Annual",MOD(B37,12)=0),'Input-AF (Avg Insurance) '!$J$18,IF(AND('Input-AF (Avg Insurance) '!$H$18="1st Installment",B37=1),'Input-AF (Avg Insurance) '!$J$18,IF('Input-AF (Avg Insurance) '!$H$18="Monthly",'Input-AF (Avg Insurance) '!$J$18,""))),"")</f>
        <v/>
      </c>
      <c r="L37" s="6">
        <f>IF(B37&lt;=$C$6,(IF(B37&lt;&gt;"",IF(AND('Input-AF (Avg Insurance) '!$H$19="Annual",MOD(B37,12)=0),'Input-AF (Avg Insurance) '!$J$19,IF(AND('Input-AF (Avg Insurance) '!$H$19="1st Installment",B37=1),'Input-AF (Avg Insurance) '!$J$19,IF('Input-AF (Avg Insurance) '!$H$19="Monthly",'Input-AF (Avg Insurance) '!$J$19,""))),""))," ")</f>
        <v>552</v>
      </c>
      <c r="M37" s="6">
        <f>IF(B37&lt;&gt;"",IF(AND('Input-AF (Avg Insurance) '!$H$20="Annual",MOD(B37,12)=0),'Input-AF (Avg Insurance) '!$J$20,IF(AND('Input-AF (Avg Insurance) '!$H$20="1st Installment",B37=1),'Input-AF (Avg Insurance) '!$J$20,IF('Input-AF (Avg Insurance) '!$H$20="Monthly",'Input-AF (Avg Insurance) '!$J$20,IF(AND('Input-AF (Avg Insurance) '!$H$20="End of the loan",B37='Input-AF (Avg Insurance) '!$E$22),'Input-AF (Avg Insurance) '!$J$20,"")))),"")</f>
        <v>0</v>
      </c>
      <c r="N37" s="6">
        <f t="shared" si="0"/>
        <v>552</v>
      </c>
      <c r="O37" s="4">
        <f t="shared" si="1"/>
        <v>5509.4165516832718</v>
      </c>
      <c r="S37" s="9">
        <f t="shared" si="2"/>
        <v>45894</v>
      </c>
      <c r="T37" s="5">
        <f t="shared" si="6"/>
        <v>5509.42</v>
      </c>
      <c r="V37" s="106"/>
      <c r="W37" s="99"/>
    </row>
    <row r="38" spans="1:23" x14ac:dyDescent="0.2">
      <c r="A38" s="1">
        <f t="shared" si="11"/>
        <v>2</v>
      </c>
      <c r="B38" s="16">
        <f t="shared" si="7"/>
        <v>21</v>
      </c>
      <c r="C38" s="9">
        <f t="shared" si="8"/>
        <v>45925</v>
      </c>
      <c r="D38" s="6">
        <f>IFERROR(PPMT('Input-AF (Avg Insurance) '!$E$18/12,B38,$C$6,'Input-AF (Avg Insurance) '!$E$17,-$C$13,0)," ")</f>
        <v>-3987.7871082262104</v>
      </c>
      <c r="E38" s="6">
        <f>IFERROR(IPMT('Input-AF (Avg Insurance) '!$E$18/12,B38,$C$6,'Input-AF (Avg Insurance) '!$E$17,-$C$13,0)," ")</f>
        <v>-969.62944345706126</v>
      </c>
      <c r="F38" s="6">
        <f t="shared" si="9"/>
        <v>-80227.146310442782</v>
      </c>
      <c r="G38" s="6">
        <f t="shared" si="10"/>
        <v>-23878.601274905934</v>
      </c>
      <c r="H38" s="6">
        <f t="shared" si="4"/>
        <v>-4957.4165516832718</v>
      </c>
      <c r="I38" s="6">
        <f t="shared" si="5"/>
        <v>219772.85368955723</v>
      </c>
      <c r="J38" s="6" t="str">
        <f>IF(B38&lt;&gt;"",IF(AND('Input-AF (Avg Insurance) '!$H$17="Annual",MOD(B38,12)=0),'Input-AF (Avg Insurance) '!$J$17,IF(AND('Input-AF (Avg Insurance) '!$H$17="1st Installment",B38=1),'Input-AF (Avg Insurance) '!$J$17,IF('Input-AF (Avg Insurance) '!$H$17="Monthly",'Input-AF (Avg Insurance) '!$J$17,""))),"")</f>
        <v/>
      </c>
      <c r="K38" s="6" t="str">
        <f>IF(B38&lt;&gt;"",IF(AND('Input-AF (Avg Insurance) '!$H$18="Annual",MOD(B38,12)=0),'Input-AF (Avg Insurance) '!$J$18,IF(AND('Input-AF (Avg Insurance) '!$H$18="1st Installment",B38=1),'Input-AF (Avg Insurance) '!$J$18,IF('Input-AF (Avg Insurance) '!$H$18="Monthly",'Input-AF (Avg Insurance) '!$J$18,""))),"")</f>
        <v/>
      </c>
      <c r="L38" s="6">
        <f>IF(B38&lt;=$C$6,(IF(B38&lt;&gt;"",IF(AND('Input-AF (Avg Insurance) '!$H$19="Annual",MOD(B38,12)=0),'Input-AF (Avg Insurance) '!$J$19,IF(AND('Input-AF (Avg Insurance) '!$H$19="1st Installment",B38=1),'Input-AF (Avg Insurance) '!$J$19,IF('Input-AF (Avg Insurance) '!$H$19="Monthly",'Input-AF (Avg Insurance) '!$J$19,""))),""))," ")</f>
        <v>552</v>
      </c>
      <c r="M38" s="6">
        <f>IF(B38&lt;&gt;"",IF(AND('Input-AF (Avg Insurance) '!$H$20="Annual",MOD(B38,12)=0),'Input-AF (Avg Insurance) '!$J$20,IF(AND('Input-AF (Avg Insurance) '!$H$20="1st Installment",B38=1),'Input-AF (Avg Insurance) '!$J$20,IF('Input-AF (Avg Insurance) '!$H$20="Monthly",'Input-AF (Avg Insurance) '!$J$20,IF(AND('Input-AF (Avg Insurance) '!$H$20="End of the loan",B38='Input-AF (Avg Insurance) '!$E$22),'Input-AF (Avg Insurance) '!$J$20,"")))),"")</f>
        <v>0</v>
      </c>
      <c r="N38" s="6">
        <f t="shared" si="0"/>
        <v>552</v>
      </c>
      <c r="O38" s="4">
        <f t="shared" si="1"/>
        <v>5509.4165516832718</v>
      </c>
      <c r="S38" s="9">
        <f t="shared" si="2"/>
        <v>45925</v>
      </c>
      <c r="T38" s="5">
        <f t="shared" si="6"/>
        <v>5509.42</v>
      </c>
      <c r="V38" s="106"/>
      <c r="W38" s="99"/>
    </row>
    <row r="39" spans="1:23" x14ac:dyDescent="0.2">
      <c r="A39" s="1">
        <f t="shared" si="11"/>
        <v>2</v>
      </c>
      <c r="B39" s="16">
        <f t="shared" si="7"/>
        <v>22</v>
      </c>
      <c r="C39" s="9">
        <f t="shared" si="8"/>
        <v>45955</v>
      </c>
      <c r="D39" s="6">
        <f>IFERROR(PPMT('Input-AF (Avg Insurance) '!$E$18/12,B39,$C$6,'Input-AF (Avg Insurance) '!$E$17,-$C$13,0)," ")</f>
        <v>-4005.0675190285242</v>
      </c>
      <c r="E39" s="6">
        <f>IFERROR(IPMT('Input-AF (Avg Insurance) '!$E$18/12,B39,$C$6,'Input-AF (Avg Insurance) '!$E$17,-$C$13,0)," ")</f>
        <v>-952.3490326547477</v>
      </c>
      <c r="F39" s="6">
        <f t="shared" si="9"/>
        <v>-84232.213829471308</v>
      </c>
      <c r="G39" s="6">
        <f t="shared" si="10"/>
        <v>-24830.950307560681</v>
      </c>
      <c r="H39" s="6">
        <f t="shared" si="4"/>
        <v>-4957.4165516832718</v>
      </c>
      <c r="I39" s="6">
        <f t="shared" si="5"/>
        <v>215767.78617052868</v>
      </c>
      <c r="J39" s="6" t="str">
        <f>IF(B39&lt;&gt;"",IF(AND('Input-AF (Avg Insurance) '!$H$17="Annual",MOD(B39,12)=0),'Input-AF (Avg Insurance) '!$J$17,IF(AND('Input-AF (Avg Insurance) '!$H$17="1st Installment",B39=1),'Input-AF (Avg Insurance) '!$J$17,IF('Input-AF (Avg Insurance) '!$H$17="Monthly",'Input-AF (Avg Insurance) '!$J$17,""))),"")</f>
        <v/>
      </c>
      <c r="K39" s="6" t="str">
        <f>IF(B39&lt;&gt;"",IF(AND('Input-AF (Avg Insurance) '!$H$18="Annual",MOD(B39,12)=0),'Input-AF (Avg Insurance) '!$J$18,IF(AND('Input-AF (Avg Insurance) '!$H$18="1st Installment",B39=1),'Input-AF (Avg Insurance) '!$J$18,IF('Input-AF (Avg Insurance) '!$H$18="Monthly",'Input-AF (Avg Insurance) '!$J$18,""))),"")</f>
        <v/>
      </c>
      <c r="L39" s="6">
        <f>IF(B39&lt;=$C$6,(IF(B39&lt;&gt;"",IF(AND('Input-AF (Avg Insurance) '!$H$19="Annual",MOD(B39,12)=0),'Input-AF (Avg Insurance) '!$J$19,IF(AND('Input-AF (Avg Insurance) '!$H$19="1st Installment",B39=1),'Input-AF (Avg Insurance) '!$J$19,IF('Input-AF (Avg Insurance) '!$H$19="Monthly",'Input-AF (Avg Insurance) '!$J$19,""))),""))," ")</f>
        <v>552</v>
      </c>
      <c r="M39" s="6">
        <f>IF(B39&lt;&gt;"",IF(AND('Input-AF (Avg Insurance) '!$H$20="Annual",MOD(B39,12)=0),'Input-AF (Avg Insurance) '!$J$20,IF(AND('Input-AF (Avg Insurance) '!$H$20="1st Installment",B39=1),'Input-AF (Avg Insurance) '!$J$20,IF('Input-AF (Avg Insurance) '!$H$20="Monthly",'Input-AF (Avg Insurance) '!$J$20,IF(AND('Input-AF (Avg Insurance) '!$H$20="End of the loan",B39='Input-AF (Avg Insurance) '!$E$22),'Input-AF (Avg Insurance) '!$J$20,"")))),"")</f>
        <v>0</v>
      </c>
      <c r="N39" s="6">
        <f t="shared" si="0"/>
        <v>552</v>
      </c>
      <c r="O39" s="4">
        <f t="shared" si="1"/>
        <v>5509.4165516832718</v>
      </c>
      <c r="S39" s="9">
        <f t="shared" si="2"/>
        <v>45955</v>
      </c>
      <c r="T39" s="5">
        <f t="shared" si="6"/>
        <v>5509.42</v>
      </c>
      <c r="V39" s="106"/>
      <c r="W39" s="99"/>
    </row>
    <row r="40" spans="1:23" x14ac:dyDescent="0.2">
      <c r="A40" s="1">
        <f t="shared" si="11"/>
        <v>2</v>
      </c>
      <c r="B40" s="16">
        <f t="shared" si="7"/>
        <v>23</v>
      </c>
      <c r="C40" s="9">
        <f t="shared" si="8"/>
        <v>45986</v>
      </c>
      <c r="D40" s="6">
        <f>IFERROR(PPMT('Input-AF (Avg Insurance) '!$E$18/12,B40,$C$6,'Input-AF (Avg Insurance) '!$E$17,-$C$13,0)," ")</f>
        <v>-4022.4228116109807</v>
      </c>
      <c r="E40" s="6">
        <f>IFERROR(IPMT('Input-AF (Avg Insurance) '!$E$18/12,B40,$C$6,'Input-AF (Avg Insurance) '!$E$17,-$C$13,0)," ")</f>
        <v>-934.99374007229085</v>
      </c>
      <c r="F40" s="6">
        <f t="shared" si="9"/>
        <v>-88254.636641082296</v>
      </c>
      <c r="G40" s="6">
        <f t="shared" si="10"/>
        <v>-25765.944047632973</v>
      </c>
      <c r="H40" s="6">
        <f t="shared" si="4"/>
        <v>-4957.4165516832718</v>
      </c>
      <c r="I40" s="6">
        <f t="shared" si="5"/>
        <v>211745.3633589177</v>
      </c>
      <c r="J40" s="6" t="str">
        <f>IF(B40&lt;&gt;"",IF(AND('Input-AF (Avg Insurance) '!$H$17="Annual",MOD(B40,12)=0),'Input-AF (Avg Insurance) '!$J$17,IF(AND('Input-AF (Avg Insurance) '!$H$17="1st Installment",B40=1),'Input-AF (Avg Insurance) '!$J$17,IF('Input-AF (Avg Insurance) '!$H$17="Monthly",'Input-AF (Avg Insurance) '!$J$17,""))),"")</f>
        <v/>
      </c>
      <c r="K40" s="6" t="str">
        <f>IF(B40&lt;&gt;"",IF(AND('Input-AF (Avg Insurance) '!$H$18="Annual",MOD(B40,12)=0),'Input-AF (Avg Insurance) '!$J$18,IF(AND('Input-AF (Avg Insurance) '!$H$18="1st Installment",B40=1),'Input-AF (Avg Insurance) '!$J$18,IF('Input-AF (Avg Insurance) '!$H$18="Monthly",'Input-AF (Avg Insurance) '!$J$18,""))),"")</f>
        <v/>
      </c>
      <c r="L40" s="6">
        <f>IF(B40&lt;=$C$6,(IF(B40&lt;&gt;"",IF(AND('Input-AF (Avg Insurance) '!$H$19="Annual",MOD(B40,12)=0),'Input-AF (Avg Insurance) '!$J$19,IF(AND('Input-AF (Avg Insurance) '!$H$19="1st Installment",B40=1),'Input-AF (Avg Insurance) '!$J$19,IF('Input-AF (Avg Insurance) '!$H$19="Monthly",'Input-AF (Avg Insurance) '!$J$19,""))),""))," ")</f>
        <v>552</v>
      </c>
      <c r="M40" s="6">
        <f>IF(B40&lt;&gt;"",IF(AND('Input-AF (Avg Insurance) '!$H$20="Annual",MOD(B40,12)=0),'Input-AF (Avg Insurance) '!$J$20,IF(AND('Input-AF (Avg Insurance) '!$H$20="1st Installment",B40=1),'Input-AF (Avg Insurance) '!$J$20,IF('Input-AF (Avg Insurance) '!$H$20="Monthly",'Input-AF (Avg Insurance) '!$J$20,IF(AND('Input-AF (Avg Insurance) '!$H$20="End of the loan",B40='Input-AF (Avg Insurance) '!$E$22),'Input-AF (Avg Insurance) '!$J$20,"")))),"")</f>
        <v>0</v>
      </c>
      <c r="N40" s="6">
        <f t="shared" si="0"/>
        <v>552</v>
      </c>
      <c r="O40" s="4">
        <f t="shared" si="1"/>
        <v>5509.4165516832718</v>
      </c>
      <c r="S40" s="9">
        <f t="shared" si="2"/>
        <v>45986</v>
      </c>
      <c r="T40" s="5">
        <f t="shared" si="6"/>
        <v>5509.42</v>
      </c>
      <c r="V40" s="106"/>
      <c r="W40" s="99"/>
    </row>
    <row r="41" spans="1:23" x14ac:dyDescent="0.2">
      <c r="A41" s="1">
        <f t="shared" si="11"/>
        <v>2</v>
      </c>
      <c r="B41" s="16">
        <f t="shared" si="7"/>
        <v>24</v>
      </c>
      <c r="C41" s="9">
        <f t="shared" si="8"/>
        <v>46016</v>
      </c>
      <c r="D41" s="6">
        <f>IFERROR(PPMT('Input-AF (Avg Insurance) '!$E$18/12,B41,$C$6,'Input-AF (Avg Insurance) '!$E$17,-$C$13,0)," ")</f>
        <v>-4039.8533104612948</v>
      </c>
      <c r="E41" s="6">
        <f>IFERROR(IPMT('Input-AF (Avg Insurance) '!$E$18/12,B41,$C$6,'Input-AF (Avg Insurance) '!$E$17,-$C$13,0)," ")</f>
        <v>-917.56324122197657</v>
      </c>
      <c r="F41" s="6">
        <f t="shared" si="9"/>
        <v>-92294.489951543597</v>
      </c>
      <c r="G41" s="6">
        <f t="shared" si="10"/>
        <v>-26683.507288854948</v>
      </c>
      <c r="H41" s="6">
        <f t="shared" si="4"/>
        <v>-4957.4165516832709</v>
      </c>
      <c r="I41" s="6">
        <f t="shared" si="5"/>
        <v>207705.5100484564</v>
      </c>
      <c r="J41" s="6" t="str">
        <f>IF(B41&lt;&gt;"",IF(AND('Input-AF (Avg Insurance) '!$H$17="Annual",MOD(B41,12)=0),'Input-AF (Avg Insurance) '!$J$17,IF(AND('Input-AF (Avg Insurance) '!$H$17="1st Installment",B41=1),'Input-AF (Avg Insurance) '!$J$17,IF('Input-AF (Avg Insurance) '!$H$17="Monthly",'Input-AF (Avg Insurance) '!$J$17,""))),"")</f>
        <v/>
      </c>
      <c r="K41" s="6">
        <f>IF(B41&lt;&gt;"",IF(AND('Input-AF (Avg Insurance) '!$H$18="Annual",MOD(B41,12)=0),'Input-AF (Avg Insurance) '!$J$18,IF(AND('Input-AF (Avg Insurance) '!$H$18="1st Installment",B41=1),'Input-AF (Avg Insurance) '!$J$18,IF('Input-AF (Avg Insurance) '!$H$18="Monthly",'Input-AF (Avg Insurance) '!$J$18,""))),"")</f>
        <v>0</v>
      </c>
      <c r="L41" s="6">
        <f>IF(B41&lt;=$C$6,(IF(B41&lt;&gt;"",IF(AND('Input-AF (Avg Insurance) '!$H$19="Annual",MOD(B41,12)=0),'Input-AF (Avg Insurance) '!$J$19,IF(AND('Input-AF (Avg Insurance) '!$H$19="1st Installment",B41=1),'Input-AF (Avg Insurance) '!$J$19,IF('Input-AF (Avg Insurance) '!$H$19="Monthly",'Input-AF (Avg Insurance) '!$J$19,""))),""))," ")</f>
        <v>552</v>
      </c>
      <c r="M41" s="6">
        <f>IF(B41&lt;&gt;"",IF(AND('Input-AF (Avg Insurance) '!$H$20="Annual",MOD(B41,12)=0),'Input-AF (Avg Insurance) '!$J$20,IF(AND('Input-AF (Avg Insurance) '!$H$20="1st Installment",B41=1),'Input-AF (Avg Insurance) '!$J$20,IF('Input-AF (Avg Insurance) '!$H$20="Monthly",'Input-AF (Avg Insurance) '!$J$20,IF(AND('Input-AF (Avg Insurance) '!$H$20="End of the loan",B41='Input-AF (Avg Insurance) '!$E$22),'Input-AF (Avg Insurance) '!$J$20,"")))),"")</f>
        <v>0</v>
      </c>
      <c r="N41" s="6">
        <f t="shared" si="0"/>
        <v>552</v>
      </c>
      <c r="O41" s="4">
        <f t="shared" si="1"/>
        <v>5509.4165516832709</v>
      </c>
      <c r="S41" s="9">
        <f t="shared" si="2"/>
        <v>46016</v>
      </c>
      <c r="T41" s="5">
        <f t="shared" si="6"/>
        <v>5509.42</v>
      </c>
      <c r="V41" s="106"/>
      <c r="W41" s="99"/>
    </row>
    <row r="42" spans="1:23" x14ac:dyDescent="0.2">
      <c r="A42" s="1">
        <f>IF(B42&lt;&gt;"",3,"")</f>
        <v>3</v>
      </c>
      <c r="B42" s="16">
        <f t="shared" si="7"/>
        <v>25</v>
      </c>
      <c r="C42" s="9">
        <f t="shared" si="8"/>
        <v>46047</v>
      </c>
      <c r="D42" s="6">
        <f>IFERROR(PPMT('Input-AF (Avg Insurance) '!$E$18/12,B42,$C$6,'Input-AF (Avg Insurance) '!$E$17,-$C$13,0)," ")</f>
        <v>-4057.3593414732941</v>
      </c>
      <c r="E42" s="6">
        <f>IFERROR(IPMT('Input-AF (Avg Insurance) '!$E$18/12,B42,$C$6,'Input-AF (Avg Insurance) '!$E$17,-$C$13,0)," ")</f>
        <v>-900.05721020997771</v>
      </c>
      <c r="F42" s="6">
        <f t="shared" si="9"/>
        <v>-96351.849293016887</v>
      </c>
      <c r="G42" s="6">
        <f t="shared" si="10"/>
        <v>-27583.564499064923</v>
      </c>
      <c r="H42" s="6">
        <f t="shared" si="4"/>
        <v>-4957.4165516832718</v>
      </c>
      <c r="I42" s="6">
        <f t="shared" si="5"/>
        <v>203648.15070698311</v>
      </c>
      <c r="J42" s="6" t="str">
        <f>IF(B42&lt;&gt;"",IF(AND('Input-AF (Avg Insurance) '!$H$17="Annual",MOD(B42,12)=0),'Input-AF (Avg Insurance) '!$J$17,IF(AND('Input-AF (Avg Insurance) '!$H$17="1st Installment",B42=1),'Input-AF (Avg Insurance) '!$J$17,IF('Input-AF (Avg Insurance) '!$H$17="Monthly",'Input-AF (Avg Insurance) '!$J$17,""))),"")</f>
        <v/>
      </c>
      <c r="K42" s="6" t="str">
        <f>IF(B42&lt;&gt;"",IF(AND('Input-AF (Avg Insurance) '!$H$18="Annual",MOD(B42,12)=0),'Input-AF (Avg Insurance) '!$J$18,IF(AND('Input-AF (Avg Insurance) '!$H$18="1st Installment",B42=1),'Input-AF (Avg Insurance) '!$J$18,IF('Input-AF (Avg Insurance) '!$H$18="Monthly",'Input-AF (Avg Insurance) '!$J$18,""))),"")</f>
        <v/>
      </c>
      <c r="L42" s="6">
        <f>IF(B42&lt;=$C$6,(IF(B42&lt;&gt;"",IF(AND('Input-AF (Avg Insurance) '!$H$19="Annual",MOD(B42,12)=0),'Input-AF (Avg Insurance) '!$J$19,IF(AND('Input-AF (Avg Insurance) '!$H$19="1st Installment",B42=1),'Input-AF (Avg Insurance) '!$J$19,IF('Input-AF (Avg Insurance) '!$H$19="Monthly",'Input-AF (Avg Insurance) '!$J$19,""))),""))," ")</f>
        <v>552</v>
      </c>
      <c r="M42" s="6">
        <f>IF(B42&lt;&gt;"",IF(AND('Input-AF (Avg Insurance) '!$H$20="Annual",MOD(B42,12)=0),'Input-AF (Avg Insurance) '!$J$20,IF(AND('Input-AF (Avg Insurance) '!$H$20="1st Installment",B42=1),'Input-AF (Avg Insurance) '!$J$20,IF('Input-AF (Avg Insurance) '!$H$20="Monthly",'Input-AF (Avg Insurance) '!$J$20,IF(AND('Input-AF (Avg Insurance) '!$H$20="End of the loan",B42='Input-AF (Avg Insurance) '!$E$22),'Input-AF (Avg Insurance) '!$J$20,"")))),"")</f>
        <v>0</v>
      </c>
      <c r="N42" s="6">
        <f t="shared" si="0"/>
        <v>552</v>
      </c>
      <c r="O42" s="4">
        <f t="shared" si="1"/>
        <v>5509.4165516832718</v>
      </c>
      <c r="S42" s="9">
        <f t="shared" si="2"/>
        <v>46047</v>
      </c>
      <c r="T42" s="5">
        <f t="shared" si="6"/>
        <v>5509.42</v>
      </c>
      <c r="V42" s="106"/>
      <c r="W42" s="99"/>
    </row>
    <row r="43" spans="1:23" x14ac:dyDescent="0.2">
      <c r="A43" s="1">
        <f t="shared" ref="A43:A53" si="12">IF(B43&lt;&gt;"",3,"")</f>
        <v>3</v>
      </c>
      <c r="B43" s="16">
        <f t="shared" si="7"/>
        <v>26</v>
      </c>
      <c r="C43" s="9">
        <f t="shared" si="8"/>
        <v>46078</v>
      </c>
      <c r="D43" s="6">
        <f>IFERROR(PPMT('Input-AF (Avg Insurance) '!$E$18/12,B43,$C$6,'Input-AF (Avg Insurance) '!$E$17,-$C$13,0)," ")</f>
        <v>-4074.941231953012</v>
      </c>
      <c r="E43" s="6">
        <f>IFERROR(IPMT('Input-AF (Avg Insurance) '!$E$18/12,B43,$C$6,'Input-AF (Avg Insurance) '!$E$17,-$C$13,0)," ")</f>
        <v>-882.47531973026003</v>
      </c>
      <c r="F43" s="6">
        <f t="shared" si="9"/>
        <v>-100426.7905249699</v>
      </c>
      <c r="G43" s="6">
        <f t="shared" si="10"/>
        <v>-28466.039818795183</v>
      </c>
      <c r="H43" s="6">
        <f t="shared" si="4"/>
        <v>-4957.4165516832718</v>
      </c>
      <c r="I43" s="6">
        <f t="shared" si="5"/>
        <v>199573.2094750301</v>
      </c>
      <c r="J43" s="6" t="str">
        <f>IF(B43&lt;&gt;"",IF(AND('Input-AF (Avg Insurance) '!$H$17="Annual",MOD(B43,12)=0),'Input-AF (Avg Insurance) '!$J$17,IF(AND('Input-AF (Avg Insurance) '!$H$17="1st Installment",B43=1),'Input-AF (Avg Insurance) '!$J$17,IF('Input-AF (Avg Insurance) '!$H$17="Monthly",'Input-AF (Avg Insurance) '!$J$17,""))),"")</f>
        <v/>
      </c>
      <c r="K43" s="6" t="str">
        <f>IF(B43&lt;&gt;"",IF(AND('Input-AF (Avg Insurance) '!$H$18="Annual",MOD(B43,12)=0),'Input-AF (Avg Insurance) '!$J$18,IF(AND('Input-AF (Avg Insurance) '!$H$18="1st Installment",B43=1),'Input-AF (Avg Insurance) '!$J$18,IF('Input-AF (Avg Insurance) '!$H$18="Monthly",'Input-AF (Avg Insurance) '!$J$18,""))),"")</f>
        <v/>
      </c>
      <c r="L43" s="6">
        <f>IF(B43&lt;=$C$6,(IF(B43&lt;&gt;"",IF(AND('Input-AF (Avg Insurance) '!$H$19="Annual",MOD(B43,12)=0),'Input-AF (Avg Insurance) '!$J$19,IF(AND('Input-AF (Avg Insurance) '!$H$19="1st Installment",B43=1),'Input-AF (Avg Insurance) '!$J$19,IF('Input-AF (Avg Insurance) '!$H$19="Monthly",'Input-AF (Avg Insurance) '!$J$19,""))),""))," ")</f>
        <v>552</v>
      </c>
      <c r="M43" s="6">
        <f>IF(B43&lt;&gt;"",IF(AND('Input-AF (Avg Insurance) '!$H$20="Annual",MOD(B43,12)=0),'Input-AF (Avg Insurance) '!$J$20,IF(AND('Input-AF (Avg Insurance) '!$H$20="1st Installment",B43=1),'Input-AF (Avg Insurance) '!$J$20,IF('Input-AF (Avg Insurance) '!$H$20="Monthly",'Input-AF (Avg Insurance) '!$J$20,IF(AND('Input-AF (Avg Insurance) '!$H$20="End of the loan",B43='Input-AF (Avg Insurance) '!$E$22),'Input-AF (Avg Insurance) '!$J$20,"")))),"")</f>
        <v>0</v>
      </c>
      <c r="N43" s="6">
        <f t="shared" si="0"/>
        <v>552</v>
      </c>
      <c r="O43" s="4">
        <f t="shared" si="1"/>
        <v>5509.4165516832718</v>
      </c>
      <c r="S43" s="9">
        <f t="shared" si="2"/>
        <v>46078</v>
      </c>
      <c r="T43" s="5">
        <f t="shared" si="6"/>
        <v>5509.42</v>
      </c>
      <c r="V43" s="106"/>
      <c r="W43" s="99"/>
    </row>
    <row r="44" spans="1:23" x14ac:dyDescent="0.2">
      <c r="A44" s="1">
        <f t="shared" si="12"/>
        <v>3</v>
      </c>
      <c r="B44" s="16">
        <f t="shared" si="7"/>
        <v>27</v>
      </c>
      <c r="C44" s="9">
        <f t="shared" si="8"/>
        <v>46106</v>
      </c>
      <c r="D44" s="6">
        <f>IFERROR(PPMT('Input-AF (Avg Insurance) '!$E$18/12,B44,$C$6,'Input-AF (Avg Insurance) '!$E$17,-$C$13,0)," ")</f>
        <v>-4092.5993106248084</v>
      </c>
      <c r="E44" s="6">
        <f>IFERROR(IPMT('Input-AF (Avg Insurance) '!$E$18/12,B44,$C$6,'Input-AF (Avg Insurance) '!$E$17,-$C$13,0)," ")</f>
        <v>-864.81724105846365</v>
      </c>
      <c r="F44" s="6">
        <f t="shared" si="9"/>
        <v>-104519.3898355947</v>
      </c>
      <c r="G44" s="6">
        <f t="shared" si="10"/>
        <v>-29330.857059853646</v>
      </c>
      <c r="H44" s="6">
        <f t="shared" si="4"/>
        <v>-4957.4165516832718</v>
      </c>
      <c r="I44" s="6">
        <f t="shared" si="5"/>
        <v>195480.61016440531</v>
      </c>
      <c r="J44" s="6" t="str">
        <f>IF(B44&lt;&gt;"",IF(AND('Input-AF (Avg Insurance) '!$H$17="Annual",MOD(B44,12)=0),'Input-AF (Avg Insurance) '!$J$17,IF(AND('Input-AF (Avg Insurance) '!$H$17="1st Installment",B44=1),'Input-AF (Avg Insurance) '!$J$17,IF('Input-AF (Avg Insurance) '!$H$17="Monthly",'Input-AF (Avg Insurance) '!$J$17,""))),"")</f>
        <v/>
      </c>
      <c r="K44" s="6" t="str">
        <f>IF(B44&lt;&gt;"",IF(AND('Input-AF (Avg Insurance) '!$H$18="Annual",MOD(B44,12)=0),'Input-AF (Avg Insurance) '!$J$18,IF(AND('Input-AF (Avg Insurance) '!$H$18="1st Installment",B44=1),'Input-AF (Avg Insurance) '!$J$18,IF('Input-AF (Avg Insurance) '!$H$18="Monthly",'Input-AF (Avg Insurance) '!$J$18,""))),"")</f>
        <v/>
      </c>
      <c r="L44" s="6">
        <f>IF(B44&lt;=$C$6,(IF(B44&lt;&gt;"",IF(AND('Input-AF (Avg Insurance) '!$H$19="Annual",MOD(B44,12)=0),'Input-AF (Avg Insurance) '!$J$19,IF(AND('Input-AF (Avg Insurance) '!$H$19="1st Installment",B44=1),'Input-AF (Avg Insurance) '!$J$19,IF('Input-AF (Avg Insurance) '!$H$19="Monthly",'Input-AF (Avg Insurance) '!$J$19,""))),""))," ")</f>
        <v>552</v>
      </c>
      <c r="M44" s="6">
        <f>IF(B44&lt;&gt;"",IF(AND('Input-AF (Avg Insurance) '!$H$20="Annual",MOD(B44,12)=0),'Input-AF (Avg Insurance) '!$J$20,IF(AND('Input-AF (Avg Insurance) '!$H$20="1st Installment",B44=1),'Input-AF (Avg Insurance) '!$J$20,IF('Input-AF (Avg Insurance) '!$H$20="Monthly",'Input-AF (Avg Insurance) '!$J$20,IF(AND('Input-AF (Avg Insurance) '!$H$20="End of the loan",B44='Input-AF (Avg Insurance) '!$E$22),'Input-AF (Avg Insurance) '!$J$20,"")))),"")</f>
        <v>0</v>
      </c>
      <c r="N44" s="6">
        <f t="shared" si="0"/>
        <v>552</v>
      </c>
      <c r="O44" s="4">
        <f t="shared" si="1"/>
        <v>5509.4165516832718</v>
      </c>
      <c r="S44" s="9">
        <f t="shared" si="2"/>
        <v>46106</v>
      </c>
      <c r="T44" s="5">
        <f t="shared" si="6"/>
        <v>5509.42</v>
      </c>
      <c r="V44" s="106"/>
      <c r="W44" s="99"/>
    </row>
    <row r="45" spans="1:23" x14ac:dyDescent="0.2">
      <c r="A45" s="1">
        <f t="shared" si="12"/>
        <v>3</v>
      </c>
      <c r="B45" s="16">
        <f t="shared" si="7"/>
        <v>28</v>
      </c>
      <c r="C45" s="9">
        <f t="shared" si="8"/>
        <v>46137</v>
      </c>
      <c r="D45" s="6">
        <f>IFERROR(PPMT('Input-AF (Avg Insurance) '!$E$18/12,B45,$C$6,'Input-AF (Avg Insurance) '!$E$17,-$C$13,0)," ")</f>
        <v>-4110.333907637515</v>
      </c>
      <c r="E45" s="6">
        <f>IFERROR(IPMT('Input-AF (Avg Insurance) '!$E$18/12,B45,$C$6,'Input-AF (Avg Insurance) '!$E$17,-$C$13,0)," ")</f>
        <v>-847.08264404575607</v>
      </c>
      <c r="F45" s="6">
        <f t="shared" si="9"/>
        <v>-108629.72374323221</v>
      </c>
      <c r="G45" s="6">
        <f t="shared" si="10"/>
        <v>-30177.939703899403</v>
      </c>
      <c r="H45" s="6">
        <f t="shared" si="4"/>
        <v>-4957.4165516832709</v>
      </c>
      <c r="I45" s="6">
        <f t="shared" si="5"/>
        <v>191370.2762567678</v>
      </c>
      <c r="J45" s="6" t="str">
        <f>IF(B45&lt;&gt;"",IF(AND('Input-AF (Avg Insurance) '!$H$17="Annual",MOD(B45,12)=0),'Input-AF (Avg Insurance) '!$J$17,IF(AND('Input-AF (Avg Insurance) '!$H$17="1st Installment",B45=1),'Input-AF (Avg Insurance) '!$J$17,IF('Input-AF (Avg Insurance) '!$H$17="Monthly",'Input-AF (Avg Insurance) '!$J$17,""))),"")</f>
        <v/>
      </c>
      <c r="K45" s="6" t="str">
        <f>IF(B45&lt;&gt;"",IF(AND('Input-AF (Avg Insurance) '!$H$18="Annual",MOD(B45,12)=0),'Input-AF (Avg Insurance) '!$J$18,IF(AND('Input-AF (Avg Insurance) '!$H$18="1st Installment",B45=1),'Input-AF (Avg Insurance) '!$J$18,IF('Input-AF (Avg Insurance) '!$H$18="Monthly",'Input-AF (Avg Insurance) '!$J$18,""))),"")</f>
        <v/>
      </c>
      <c r="L45" s="6">
        <f>IF(B45&lt;=$C$6,(IF(B45&lt;&gt;"",IF(AND('Input-AF (Avg Insurance) '!$H$19="Annual",MOD(B45,12)=0),'Input-AF (Avg Insurance) '!$J$19,IF(AND('Input-AF (Avg Insurance) '!$H$19="1st Installment",B45=1),'Input-AF (Avg Insurance) '!$J$19,IF('Input-AF (Avg Insurance) '!$H$19="Monthly",'Input-AF (Avg Insurance) '!$J$19,""))),""))," ")</f>
        <v>552</v>
      </c>
      <c r="M45" s="6">
        <f>IF(B45&lt;&gt;"",IF(AND('Input-AF (Avg Insurance) '!$H$20="Annual",MOD(B45,12)=0),'Input-AF (Avg Insurance) '!$J$20,IF(AND('Input-AF (Avg Insurance) '!$H$20="1st Installment",B45=1),'Input-AF (Avg Insurance) '!$J$20,IF('Input-AF (Avg Insurance) '!$H$20="Monthly",'Input-AF (Avg Insurance) '!$J$20,IF(AND('Input-AF (Avg Insurance) '!$H$20="End of the loan",B45='Input-AF (Avg Insurance) '!$E$22),'Input-AF (Avg Insurance) '!$J$20,"")))),"")</f>
        <v>0</v>
      </c>
      <c r="N45" s="6">
        <f t="shared" si="0"/>
        <v>552</v>
      </c>
      <c r="O45" s="4">
        <f t="shared" si="1"/>
        <v>5509.4165516832709</v>
      </c>
      <c r="S45" s="9">
        <f t="shared" si="2"/>
        <v>46137</v>
      </c>
      <c r="T45" s="5">
        <f t="shared" si="6"/>
        <v>5509.42</v>
      </c>
      <c r="V45" s="106"/>
      <c r="W45" s="99"/>
    </row>
    <row r="46" spans="1:23" x14ac:dyDescent="0.2">
      <c r="A46" s="1">
        <f t="shared" si="12"/>
        <v>3</v>
      </c>
      <c r="B46" s="16">
        <f t="shared" si="7"/>
        <v>29</v>
      </c>
      <c r="C46" s="9">
        <f t="shared" si="8"/>
        <v>46167</v>
      </c>
      <c r="D46" s="6">
        <f>IFERROR(PPMT('Input-AF (Avg Insurance) '!$E$18/12,B46,$C$6,'Input-AF (Avg Insurance) '!$E$17,-$C$13,0)," ")</f>
        <v>-4128.1453545706117</v>
      </c>
      <c r="E46" s="6">
        <f>IFERROR(IPMT('Input-AF (Avg Insurance) '!$E$18/12,B46,$C$6,'Input-AF (Avg Insurance) '!$E$17,-$C$13,0)," ")</f>
        <v>-829.27119711266027</v>
      </c>
      <c r="F46" s="6">
        <f t="shared" si="9"/>
        <v>-112757.86909780283</v>
      </c>
      <c r="G46" s="6">
        <f t="shared" si="10"/>
        <v>-31007.210901012062</v>
      </c>
      <c r="H46" s="6">
        <f t="shared" si="4"/>
        <v>-4957.4165516832718</v>
      </c>
      <c r="I46" s="6">
        <f t="shared" si="5"/>
        <v>187242.13090219715</v>
      </c>
      <c r="J46" s="6" t="str">
        <f>IF(B46&lt;&gt;"",IF(AND('Input-AF (Avg Insurance) '!$H$17="Annual",MOD(B46,12)=0),'Input-AF (Avg Insurance) '!$J$17,IF(AND('Input-AF (Avg Insurance) '!$H$17="1st Installment",B46=1),'Input-AF (Avg Insurance) '!$J$17,IF('Input-AF (Avg Insurance) '!$H$17="Monthly",'Input-AF (Avg Insurance) '!$J$17,""))),"")</f>
        <v/>
      </c>
      <c r="K46" s="6" t="str">
        <f>IF(B46&lt;&gt;"",IF(AND('Input-AF (Avg Insurance) '!$H$18="Annual",MOD(B46,12)=0),'Input-AF (Avg Insurance) '!$J$18,IF(AND('Input-AF (Avg Insurance) '!$H$18="1st Installment",B46=1),'Input-AF (Avg Insurance) '!$J$18,IF('Input-AF (Avg Insurance) '!$H$18="Monthly",'Input-AF (Avg Insurance) '!$J$18,""))),"")</f>
        <v/>
      </c>
      <c r="L46" s="6">
        <f>IF(B46&lt;=$C$6,(IF(B46&lt;&gt;"",IF(AND('Input-AF (Avg Insurance) '!$H$19="Annual",MOD(B46,12)=0),'Input-AF (Avg Insurance) '!$J$19,IF(AND('Input-AF (Avg Insurance) '!$H$19="1st Installment",B46=1),'Input-AF (Avg Insurance) '!$J$19,IF('Input-AF (Avg Insurance) '!$H$19="Monthly",'Input-AF (Avg Insurance) '!$J$19,""))),""))," ")</f>
        <v>552</v>
      </c>
      <c r="M46" s="6">
        <f>IF(B46&lt;&gt;"",IF(AND('Input-AF (Avg Insurance) '!$H$20="Annual",MOD(B46,12)=0),'Input-AF (Avg Insurance) '!$J$20,IF(AND('Input-AF (Avg Insurance) '!$H$20="1st Installment",B46=1),'Input-AF (Avg Insurance) '!$J$20,IF('Input-AF (Avg Insurance) '!$H$20="Monthly",'Input-AF (Avg Insurance) '!$J$20,IF(AND('Input-AF (Avg Insurance) '!$H$20="End of the loan",B46='Input-AF (Avg Insurance) '!$E$22),'Input-AF (Avg Insurance) '!$J$20,"")))),"")</f>
        <v>0</v>
      </c>
      <c r="N46" s="6">
        <f t="shared" si="0"/>
        <v>552</v>
      </c>
      <c r="O46" s="4">
        <f t="shared" si="1"/>
        <v>5509.4165516832718</v>
      </c>
      <c r="S46" s="9">
        <f t="shared" si="2"/>
        <v>46167</v>
      </c>
      <c r="T46" s="5">
        <f t="shared" si="6"/>
        <v>5509.42</v>
      </c>
      <c r="V46" s="106"/>
      <c r="W46" s="99"/>
    </row>
    <row r="47" spans="1:23" x14ac:dyDescent="0.2">
      <c r="A47" s="1">
        <f t="shared" si="12"/>
        <v>3</v>
      </c>
      <c r="B47" s="16">
        <f t="shared" si="7"/>
        <v>30</v>
      </c>
      <c r="C47" s="9">
        <f t="shared" si="8"/>
        <v>46198</v>
      </c>
      <c r="D47" s="6">
        <f>IFERROR(PPMT('Input-AF (Avg Insurance) '!$E$18/12,B47,$C$6,'Input-AF (Avg Insurance) '!$E$17,-$C$13,0)," ")</f>
        <v>-4146.033984440417</v>
      </c>
      <c r="E47" s="6">
        <f>IFERROR(IPMT('Input-AF (Avg Insurance) '!$E$18/12,B47,$C$6,'Input-AF (Avg Insurance) '!$E$17,-$C$13,0)," ")</f>
        <v>-811.38256724285429</v>
      </c>
      <c r="F47" s="6">
        <f t="shared" si="9"/>
        <v>-116903.90308224325</v>
      </c>
      <c r="G47" s="6">
        <f t="shared" si="10"/>
        <v>-31818.593468254916</v>
      </c>
      <c r="H47" s="6">
        <f t="shared" si="4"/>
        <v>-4957.4165516832709</v>
      </c>
      <c r="I47" s="6">
        <f t="shared" si="5"/>
        <v>183096.09691775675</v>
      </c>
      <c r="J47" s="6" t="str">
        <f>IF(B47&lt;&gt;"",IF(AND('Input-AF (Avg Insurance) '!$H$17="Annual",MOD(B47,12)=0),'Input-AF (Avg Insurance) '!$J$17,IF(AND('Input-AF (Avg Insurance) '!$H$17="1st Installment",B47=1),'Input-AF (Avg Insurance) '!$J$17,IF('Input-AF (Avg Insurance) '!$H$17="Monthly",'Input-AF (Avg Insurance) '!$J$17,""))),"")</f>
        <v/>
      </c>
      <c r="K47" s="6" t="str">
        <f>IF(B47&lt;&gt;"",IF(AND('Input-AF (Avg Insurance) '!$H$18="Annual",MOD(B47,12)=0),'Input-AF (Avg Insurance) '!$J$18,IF(AND('Input-AF (Avg Insurance) '!$H$18="1st Installment",B47=1),'Input-AF (Avg Insurance) '!$J$18,IF('Input-AF (Avg Insurance) '!$H$18="Monthly",'Input-AF (Avg Insurance) '!$J$18,""))),"")</f>
        <v/>
      </c>
      <c r="L47" s="6">
        <f>IF(B47&lt;=$C$6,(IF(B47&lt;&gt;"",IF(AND('Input-AF (Avg Insurance) '!$H$19="Annual",MOD(B47,12)=0),'Input-AF (Avg Insurance) '!$J$19,IF(AND('Input-AF (Avg Insurance) '!$H$19="1st Installment",B47=1),'Input-AF (Avg Insurance) '!$J$19,IF('Input-AF (Avg Insurance) '!$H$19="Monthly",'Input-AF (Avg Insurance) '!$J$19,""))),""))," ")</f>
        <v>552</v>
      </c>
      <c r="M47" s="6">
        <f>IF(B47&lt;&gt;"",IF(AND('Input-AF (Avg Insurance) '!$H$20="Annual",MOD(B47,12)=0),'Input-AF (Avg Insurance) '!$J$20,IF(AND('Input-AF (Avg Insurance) '!$H$20="1st Installment",B47=1),'Input-AF (Avg Insurance) '!$J$20,IF('Input-AF (Avg Insurance) '!$H$20="Monthly",'Input-AF (Avg Insurance) '!$J$20,IF(AND('Input-AF (Avg Insurance) '!$H$20="End of the loan",B47='Input-AF (Avg Insurance) '!$E$22),'Input-AF (Avg Insurance) '!$J$20,"")))),"")</f>
        <v>0</v>
      </c>
      <c r="N47" s="6">
        <f t="shared" si="0"/>
        <v>552</v>
      </c>
      <c r="O47" s="4">
        <f t="shared" si="1"/>
        <v>5509.4165516832709</v>
      </c>
      <c r="S47" s="9">
        <f t="shared" si="2"/>
        <v>46198</v>
      </c>
      <c r="T47" s="5">
        <f t="shared" si="6"/>
        <v>5509.42</v>
      </c>
      <c r="V47" s="106"/>
      <c r="W47" s="99"/>
    </row>
    <row r="48" spans="1:23" x14ac:dyDescent="0.2">
      <c r="A48" s="1">
        <f t="shared" si="12"/>
        <v>3</v>
      </c>
      <c r="B48" s="16">
        <f t="shared" si="7"/>
        <v>31</v>
      </c>
      <c r="C48" s="9">
        <f t="shared" si="8"/>
        <v>46228</v>
      </c>
      <c r="D48" s="6">
        <f>IFERROR(PPMT('Input-AF (Avg Insurance) '!$E$18/12,B48,$C$6,'Input-AF (Avg Insurance) '!$E$17,-$C$13,0)," ")</f>
        <v>-4164.0001317063261</v>
      </c>
      <c r="E48" s="6">
        <f>IFERROR(IPMT('Input-AF (Avg Insurance) '!$E$18/12,B48,$C$6,'Input-AF (Avg Insurance) '!$E$17,-$C$13,0)," ")</f>
        <v>-793.41641997694569</v>
      </c>
      <c r="F48" s="6">
        <f t="shared" si="9"/>
        <v>-121067.90321394958</v>
      </c>
      <c r="G48" s="6">
        <f t="shared" si="10"/>
        <v>-32612.009888231863</v>
      </c>
      <c r="H48" s="6">
        <f t="shared" si="4"/>
        <v>-4957.4165516832718</v>
      </c>
      <c r="I48" s="6">
        <f t="shared" si="5"/>
        <v>178932.09678605042</v>
      </c>
      <c r="J48" s="6" t="str">
        <f>IF(B48&lt;&gt;"",IF(AND('Input-AF (Avg Insurance) '!$H$17="Annual",MOD(B48,12)=0),'Input-AF (Avg Insurance) '!$J$17,IF(AND('Input-AF (Avg Insurance) '!$H$17="1st Installment",B48=1),'Input-AF (Avg Insurance) '!$J$17,IF('Input-AF (Avg Insurance) '!$H$17="Monthly",'Input-AF (Avg Insurance) '!$J$17,""))),"")</f>
        <v/>
      </c>
      <c r="K48" s="6" t="str">
        <f>IF(B48&lt;&gt;"",IF(AND('Input-AF (Avg Insurance) '!$H$18="Annual",MOD(B48,12)=0),'Input-AF (Avg Insurance) '!$J$18,IF(AND('Input-AF (Avg Insurance) '!$H$18="1st Installment",B48=1),'Input-AF (Avg Insurance) '!$J$18,IF('Input-AF (Avg Insurance) '!$H$18="Monthly",'Input-AF (Avg Insurance) '!$J$18,""))),"")</f>
        <v/>
      </c>
      <c r="L48" s="6">
        <f>IF(B48&lt;=$C$6,(IF(B48&lt;&gt;"",IF(AND('Input-AF (Avg Insurance) '!$H$19="Annual",MOD(B48,12)=0),'Input-AF (Avg Insurance) '!$J$19,IF(AND('Input-AF (Avg Insurance) '!$H$19="1st Installment",B48=1),'Input-AF (Avg Insurance) '!$J$19,IF('Input-AF (Avg Insurance) '!$H$19="Monthly",'Input-AF (Avg Insurance) '!$J$19,""))),""))," ")</f>
        <v>552</v>
      </c>
      <c r="M48" s="6">
        <f>IF(B48&lt;&gt;"",IF(AND('Input-AF (Avg Insurance) '!$H$20="Annual",MOD(B48,12)=0),'Input-AF (Avg Insurance) '!$J$20,IF(AND('Input-AF (Avg Insurance) '!$H$20="1st Installment",B48=1),'Input-AF (Avg Insurance) '!$J$20,IF('Input-AF (Avg Insurance) '!$H$20="Monthly",'Input-AF (Avg Insurance) '!$J$20,IF(AND('Input-AF (Avg Insurance) '!$H$20="End of the loan",B48='Input-AF (Avg Insurance) '!$E$22),'Input-AF (Avg Insurance) '!$J$20,"")))),"")</f>
        <v>0</v>
      </c>
      <c r="N48" s="6">
        <f t="shared" si="0"/>
        <v>552</v>
      </c>
      <c r="O48" s="4">
        <f t="shared" si="1"/>
        <v>5509.4165516832718</v>
      </c>
      <c r="S48" s="9">
        <f t="shared" si="2"/>
        <v>46228</v>
      </c>
      <c r="T48" s="5">
        <f t="shared" si="6"/>
        <v>5509.42</v>
      </c>
      <c r="V48" s="106"/>
    </row>
    <row r="49" spans="1:22" x14ac:dyDescent="0.2">
      <c r="A49" s="1">
        <f t="shared" si="12"/>
        <v>3</v>
      </c>
      <c r="B49" s="16">
        <f t="shared" si="7"/>
        <v>32</v>
      </c>
      <c r="C49" s="9">
        <f t="shared" si="8"/>
        <v>46259</v>
      </c>
      <c r="D49" s="6">
        <f>IFERROR(PPMT('Input-AF (Avg Insurance) '!$E$18/12,B49,$C$6,'Input-AF (Avg Insurance) '!$E$17,-$C$13,0)," ")</f>
        <v>-4182.044132277053</v>
      </c>
      <c r="E49" s="6">
        <f>IFERROR(IPMT('Input-AF (Avg Insurance) '!$E$18/12,B49,$C$6,'Input-AF (Avg Insurance) '!$E$17,-$C$13,0)," ")</f>
        <v>-775.37241940621846</v>
      </c>
      <c r="F49" s="6">
        <f t="shared" si="9"/>
        <v>-125249.94734622663</v>
      </c>
      <c r="G49" s="6">
        <f t="shared" si="10"/>
        <v>-33387.38230763808</v>
      </c>
      <c r="H49" s="6">
        <f t="shared" si="4"/>
        <v>-4957.4165516832718</v>
      </c>
      <c r="I49" s="6">
        <f t="shared" si="5"/>
        <v>174750.05265377337</v>
      </c>
      <c r="J49" s="6" t="str">
        <f>IF(B49&lt;&gt;"",IF(AND('Input-AF (Avg Insurance) '!$H$17="Annual",MOD(B49,12)=0),'Input-AF (Avg Insurance) '!$J$17,IF(AND('Input-AF (Avg Insurance) '!$H$17="1st Installment",B49=1),'Input-AF (Avg Insurance) '!$J$17,IF('Input-AF (Avg Insurance) '!$H$17="Monthly",'Input-AF (Avg Insurance) '!$J$17,""))),"")</f>
        <v/>
      </c>
      <c r="K49" s="6" t="str">
        <f>IF(B49&lt;&gt;"",IF(AND('Input-AF (Avg Insurance) '!$H$18="Annual",MOD(B49,12)=0),'Input-AF (Avg Insurance) '!$J$18,IF(AND('Input-AF (Avg Insurance) '!$H$18="1st Installment",B49=1),'Input-AF (Avg Insurance) '!$J$18,IF('Input-AF (Avg Insurance) '!$H$18="Monthly",'Input-AF (Avg Insurance) '!$J$18,""))),"")</f>
        <v/>
      </c>
      <c r="L49" s="6">
        <f>IF(B49&lt;=$C$6,(IF(B49&lt;&gt;"",IF(AND('Input-AF (Avg Insurance) '!$H$19="Annual",MOD(B49,12)=0),'Input-AF (Avg Insurance) '!$J$19,IF(AND('Input-AF (Avg Insurance) '!$H$19="1st Installment",B49=1),'Input-AF (Avg Insurance) '!$J$19,IF('Input-AF (Avg Insurance) '!$H$19="Monthly",'Input-AF (Avg Insurance) '!$J$19,""))),""))," ")</f>
        <v>552</v>
      </c>
      <c r="M49" s="6">
        <f>IF(B49&lt;&gt;"",IF(AND('Input-AF (Avg Insurance) '!$H$20="Annual",MOD(B49,12)=0),'Input-AF (Avg Insurance) '!$J$20,IF(AND('Input-AF (Avg Insurance) '!$H$20="1st Installment",B49=1),'Input-AF (Avg Insurance) '!$J$20,IF('Input-AF (Avg Insurance) '!$H$20="Monthly",'Input-AF (Avg Insurance) '!$J$20,IF(AND('Input-AF (Avg Insurance) '!$H$20="End of the loan",B49='Input-AF (Avg Insurance) '!$E$22),'Input-AF (Avg Insurance) '!$J$20,"")))),"")</f>
        <v>0</v>
      </c>
      <c r="N49" s="6">
        <f t="shared" ref="N49:N77" si="13">IF(B49&lt;&gt;"",SUM(J49:M49),"")</f>
        <v>552</v>
      </c>
      <c r="O49" s="4">
        <f t="shared" si="1"/>
        <v>5509.4165516832718</v>
      </c>
      <c r="S49" s="9">
        <f t="shared" si="2"/>
        <v>46259</v>
      </c>
      <c r="T49" s="5">
        <f t="shared" si="6"/>
        <v>5509.42</v>
      </c>
      <c r="V49" s="106"/>
    </row>
    <row r="50" spans="1:22" x14ac:dyDescent="0.2">
      <c r="A50" s="1">
        <f t="shared" si="12"/>
        <v>3</v>
      </c>
      <c r="B50" s="16">
        <f t="shared" si="7"/>
        <v>33</v>
      </c>
      <c r="C50" s="9">
        <f t="shared" si="8"/>
        <v>46290</v>
      </c>
      <c r="D50" s="6">
        <f>IFERROR(PPMT('Input-AF (Avg Insurance) '!$E$18/12,B50,$C$6,'Input-AF (Avg Insurance) '!$E$17,-$C$13,0)," ")</f>
        <v>-4200.1663235169208</v>
      </c>
      <c r="E50" s="6">
        <f>IFERROR(IPMT('Input-AF (Avg Insurance) '!$E$18/12,B50,$C$6,'Input-AF (Avg Insurance) '!$E$17,-$C$13,0)," ")</f>
        <v>-757.25022816635112</v>
      </c>
      <c r="F50" s="6">
        <f t="shared" si="9"/>
        <v>-129450.11366974356</v>
      </c>
      <c r="G50" s="6">
        <f t="shared" si="10"/>
        <v>-34144.632535804434</v>
      </c>
      <c r="H50" s="6">
        <f t="shared" si="4"/>
        <v>-4957.4165516832718</v>
      </c>
      <c r="I50" s="6">
        <f t="shared" si="5"/>
        <v>170549.88633025644</v>
      </c>
      <c r="J50" s="6" t="str">
        <f>IF(B50&lt;&gt;"",IF(AND('Input-AF (Avg Insurance) '!$H$17="Annual",MOD(B50,12)=0),'Input-AF (Avg Insurance) '!$J$17,IF(AND('Input-AF (Avg Insurance) '!$H$17="1st Installment",B50=1),'Input-AF (Avg Insurance) '!$J$17,IF('Input-AF (Avg Insurance) '!$H$17="Monthly",'Input-AF (Avg Insurance) '!$J$17,""))),"")</f>
        <v/>
      </c>
      <c r="K50" s="6" t="str">
        <f>IF(B50&lt;&gt;"",IF(AND('Input-AF (Avg Insurance) '!$H$18="Annual",MOD(B50,12)=0),'Input-AF (Avg Insurance) '!$J$18,IF(AND('Input-AF (Avg Insurance) '!$H$18="1st Installment",B50=1),'Input-AF (Avg Insurance) '!$J$18,IF('Input-AF (Avg Insurance) '!$H$18="Monthly",'Input-AF (Avg Insurance) '!$J$18,""))),"")</f>
        <v/>
      </c>
      <c r="L50" s="6">
        <f>IF(B50&lt;=$C$6,(IF(B50&lt;&gt;"",IF(AND('Input-AF (Avg Insurance) '!$H$19="Annual",MOD(B50,12)=0),'Input-AF (Avg Insurance) '!$J$19,IF(AND('Input-AF (Avg Insurance) '!$H$19="1st Installment",B50=1),'Input-AF (Avg Insurance) '!$J$19,IF('Input-AF (Avg Insurance) '!$H$19="Monthly",'Input-AF (Avg Insurance) '!$J$19,""))),""))," ")</f>
        <v>552</v>
      </c>
      <c r="M50" s="6">
        <f>IF(B50&lt;&gt;"",IF(AND('Input-AF (Avg Insurance) '!$H$20="Annual",MOD(B50,12)=0),'Input-AF (Avg Insurance) '!$J$20,IF(AND('Input-AF (Avg Insurance) '!$H$20="1st Installment",B50=1),'Input-AF (Avg Insurance) '!$J$20,IF('Input-AF (Avg Insurance) '!$H$20="Monthly",'Input-AF (Avg Insurance) '!$J$20,IF(AND('Input-AF (Avg Insurance) '!$H$20="End of the loan",B50='Input-AF (Avg Insurance) '!$E$22),'Input-AF (Avg Insurance) '!$J$20,"")))),"")</f>
        <v>0</v>
      </c>
      <c r="N50" s="6">
        <f t="shared" si="13"/>
        <v>552</v>
      </c>
      <c r="O50" s="4">
        <f t="shared" si="1"/>
        <v>5509.4165516832718</v>
      </c>
      <c r="S50" s="9">
        <f t="shared" si="2"/>
        <v>46290</v>
      </c>
      <c r="T50" s="5">
        <f t="shared" si="6"/>
        <v>5509.42</v>
      </c>
      <c r="V50" s="106"/>
    </row>
    <row r="51" spans="1:22" x14ac:dyDescent="0.2">
      <c r="A51" s="1">
        <f t="shared" si="12"/>
        <v>3</v>
      </c>
      <c r="B51" s="16">
        <f t="shared" si="7"/>
        <v>34</v>
      </c>
      <c r="C51" s="9">
        <f t="shared" si="8"/>
        <v>46320</v>
      </c>
      <c r="D51" s="6">
        <f>IFERROR(PPMT('Input-AF (Avg Insurance) '!$E$18/12,B51,$C$6,'Input-AF (Avg Insurance) '!$E$17,-$C$13,0)," ")</f>
        <v>-4218.3670442521607</v>
      </c>
      <c r="E51" s="6">
        <f>IFERROR(IPMT('Input-AF (Avg Insurance) '!$E$18/12,B51,$C$6,'Input-AF (Avg Insurance) '!$E$17,-$C$13,0)," ")</f>
        <v>-739.04950743111112</v>
      </c>
      <c r="F51" s="6">
        <f t="shared" si="9"/>
        <v>-133668.48071399573</v>
      </c>
      <c r="G51" s="6">
        <f t="shared" si="10"/>
        <v>-34883.682043235545</v>
      </c>
      <c r="H51" s="6">
        <f t="shared" si="4"/>
        <v>-4957.4165516832718</v>
      </c>
      <c r="I51" s="6">
        <f t="shared" si="5"/>
        <v>166331.51928600427</v>
      </c>
      <c r="J51" s="6" t="str">
        <f>IF(B51&lt;&gt;"",IF(AND('Input-AF (Avg Insurance) '!$H$17="Annual",MOD(B51,12)=0),'Input-AF (Avg Insurance) '!$J$17,IF(AND('Input-AF (Avg Insurance) '!$H$17="1st Installment",B51=1),'Input-AF (Avg Insurance) '!$J$17,IF('Input-AF (Avg Insurance) '!$H$17="Monthly",'Input-AF (Avg Insurance) '!$J$17,""))),"")</f>
        <v/>
      </c>
      <c r="K51" s="6" t="str">
        <f>IF(B51&lt;&gt;"",IF(AND('Input-AF (Avg Insurance) '!$H$18="Annual",MOD(B51,12)=0),'Input-AF (Avg Insurance) '!$J$18,IF(AND('Input-AF (Avg Insurance) '!$H$18="1st Installment",B51=1),'Input-AF (Avg Insurance) '!$J$18,IF('Input-AF (Avg Insurance) '!$H$18="Monthly",'Input-AF (Avg Insurance) '!$J$18,""))),"")</f>
        <v/>
      </c>
      <c r="L51" s="6">
        <f>IF(B51&lt;=$C$6,(IF(B51&lt;&gt;"",IF(AND('Input-AF (Avg Insurance) '!$H$19="Annual",MOD(B51,12)=0),'Input-AF (Avg Insurance) '!$J$19,IF(AND('Input-AF (Avg Insurance) '!$H$19="1st Installment",B51=1),'Input-AF (Avg Insurance) '!$J$19,IF('Input-AF (Avg Insurance) '!$H$19="Monthly",'Input-AF (Avg Insurance) '!$J$19,""))),""))," ")</f>
        <v>552</v>
      </c>
      <c r="M51" s="6">
        <f>IF(B51&lt;&gt;"",IF(AND('Input-AF (Avg Insurance) '!$H$20="Annual",MOD(B51,12)=0),'Input-AF (Avg Insurance) '!$J$20,IF(AND('Input-AF (Avg Insurance) '!$H$20="1st Installment",B51=1),'Input-AF (Avg Insurance) '!$J$20,IF('Input-AF (Avg Insurance) '!$H$20="Monthly",'Input-AF (Avg Insurance) '!$J$20,IF(AND('Input-AF (Avg Insurance) '!$H$20="End of the loan",B51='Input-AF (Avg Insurance) '!$E$22),'Input-AF (Avg Insurance) '!$J$20,"")))),"")</f>
        <v>0</v>
      </c>
      <c r="N51" s="6">
        <f t="shared" si="13"/>
        <v>552</v>
      </c>
      <c r="O51" s="4">
        <f t="shared" si="1"/>
        <v>5509.4165516832718</v>
      </c>
      <c r="S51" s="9">
        <f t="shared" si="2"/>
        <v>46320</v>
      </c>
      <c r="T51" s="5">
        <f t="shared" si="6"/>
        <v>5509.42</v>
      </c>
      <c r="V51" s="106"/>
    </row>
    <row r="52" spans="1:22" x14ac:dyDescent="0.2">
      <c r="A52" s="1">
        <f t="shared" si="12"/>
        <v>3</v>
      </c>
      <c r="B52" s="16">
        <f t="shared" si="7"/>
        <v>35</v>
      </c>
      <c r="C52" s="9">
        <f t="shared" si="8"/>
        <v>46351</v>
      </c>
      <c r="D52" s="6">
        <f>IFERROR(PPMT('Input-AF (Avg Insurance) '!$E$18/12,B52,$C$6,'Input-AF (Avg Insurance) '!$E$17,-$C$13,0)," ")</f>
        <v>-4236.646634777253</v>
      </c>
      <c r="E52" s="6">
        <f>IFERROR(IPMT('Input-AF (Avg Insurance) '!$E$18/12,B52,$C$6,'Input-AF (Avg Insurance) '!$E$17,-$C$13,0)," ")</f>
        <v>-720.76991690601847</v>
      </c>
      <c r="F52" s="6">
        <f t="shared" si="9"/>
        <v>-137905.12734877298</v>
      </c>
      <c r="G52" s="6">
        <f t="shared" si="10"/>
        <v>-35604.451960141567</v>
      </c>
      <c r="H52" s="6">
        <f t="shared" si="4"/>
        <v>-4957.4165516832718</v>
      </c>
      <c r="I52" s="6">
        <f t="shared" si="5"/>
        <v>162094.87265122702</v>
      </c>
      <c r="J52" s="6" t="str">
        <f>IF(B52&lt;&gt;"",IF(AND('Input-AF (Avg Insurance) '!$H$17="Annual",MOD(B52,12)=0),'Input-AF (Avg Insurance) '!$J$17,IF(AND('Input-AF (Avg Insurance) '!$H$17="1st Installment",B52=1),'Input-AF (Avg Insurance) '!$J$17,IF('Input-AF (Avg Insurance) '!$H$17="Monthly",'Input-AF (Avg Insurance) '!$J$17,""))),"")</f>
        <v/>
      </c>
      <c r="K52" s="6" t="str">
        <f>IF(B52&lt;&gt;"",IF(AND('Input-AF (Avg Insurance) '!$H$18="Annual",MOD(B52,12)=0),'Input-AF (Avg Insurance) '!$J$18,IF(AND('Input-AF (Avg Insurance) '!$H$18="1st Installment",B52=1),'Input-AF (Avg Insurance) '!$J$18,IF('Input-AF (Avg Insurance) '!$H$18="Monthly",'Input-AF (Avg Insurance) '!$J$18,""))),"")</f>
        <v/>
      </c>
      <c r="L52" s="6">
        <f>IF(B52&lt;=$C$6,(IF(B52&lt;&gt;"",IF(AND('Input-AF (Avg Insurance) '!$H$19="Annual",MOD(B52,12)=0),'Input-AF (Avg Insurance) '!$J$19,IF(AND('Input-AF (Avg Insurance) '!$H$19="1st Installment",B52=1),'Input-AF (Avg Insurance) '!$J$19,IF('Input-AF (Avg Insurance) '!$H$19="Monthly",'Input-AF (Avg Insurance) '!$J$19,""))),""))," ")</f>
        <v>552</v>
      </c>
      <c r="M52" s="6">
        <f>IF(B52&lt;&gt;"",IF(AND('Input-AF (Avg Insurance) '!$H$20="Annual",MOD(B52,12)=0),'Input-AF (Avg Insurance) '!$J$20,IF(AND('Input-AF (Avg Insurance) '!$H$20="1st Installment",B52=1),'Input-AF (Avg Insurance) '!$J$20,IF('Input-AF (Avg Insurance) '!$H$20="Monthly",'Input-AF (Avg Insurance) '!$J$20,IF(AND('Input-AF (Avg Insurance) '!$H$20="End of the loan",B52='Input-AF (Avg Insurance) '!$E$22),'Input-AF (Avg Insurance) '!$J$20,"")))),"")</f>
        <v>0</v>
      </c>
      <c r="N52" s="6">
        <f t="shared" si="13"/>
        <v>552</v>
      </c>
      <c r="O52" s="4">
        <f t="shared" si="1"/>
        <v>5509.4165516832718</v>
      </c>
      <c r="S52" s="9">
        <f t="shared" si="2"/>
        <v>46351</v>
      </c>
      <c r="T52" s="5">
        <f t="shared" si="6"/>
        <v>5509.42</v>
      </c>
      <c r="V52" s="106"/>
    </row>
    <row r="53" spans="1:22" x14ac:dyDescent="0.2">
      <c r="A53" s="1">
        <f t="shared" si="12"/>
        <v>3</v>
      </c>
      <c r="B53" s="16">
        <f t="shared" si="7"/>
        <v>36</v>
      </c>
      <c r="C53" s="9">
        <f t="shared" si="8"/>
        <v>46381</v>
      </c>
      <c r="D53" s="6">
        <f>IFERROR(PPMT('Input-AF (Avg Insurance) '!$E$18/12,B53,$C$6,'Input-AF (Avg Insurance) '!$E$17,-$C$13,0)," ")</f>
        <v>-4255.0054368612882</v>
      </c>
      <c r="E53" s="6">
        <f>IFERROR(IPMT('Input-AF (Avg Insurance) '!$E$18/12,B53,$C$6,'Input-AF (Avg Insurance) '!$E$17,-$C$13,0)," ")</f>
        <v>-702.41111482198369</v>
      </c>
      <c r="F53" s="6">
        <f t="shared" si="9"/>
        <v>-142160.13278563425</v>
      </c>
      <c r="G53" s="6">
        <f t="shared" si="10"/>
        <v>-36306.863074963549</v>
      </c>
      <c r="H53" s="6">
        <f t="shared" si="4"/>
        <v>-4957.4165516832718</v>
      </c>
      <c r="I53" s="6">
        <f t="shared" si="5"/>
        <v>157839.86721436575</v>
      </c>
      <c r="J53" s="6" t="str">
        <f>IF(B53&lt;&gt;"",IF(AND('Input-AF (Avg Insurance) '!$H$17="Annual",MOD(B53,12)=0),'Input-AF (Avg Insurance) '!$J$17,IF(AND('Input-AF (Avg Insurance) '!$H$17="1st Installment",B53=1),'Input-AF (Avg Insurance) '!$J$17,IF('Input-AF (Avg Insurance) '!$H$17="Monthly",'Input-AF (Avg Insurance) '!$J$17,""))),"")</f>
        <v/>
      </c>
      <c r="K53" s="6">
        <f>IF(B53&lt;&gt;"",IF(AND('Input-AF (Avg Insurance) '!$H$18="Annual",MOD(B53,12)=0),'Input-AF (Avg Insurance) '!$J$18,IF(AND('Input-AF (Avg Insurance) '!$H$18="1st Installment",B53=1),'Input-AF (Avg Insurance) '!$J$18,IF('Input-AF (Avg Insurance) '!$H$18="Monthly",'Input-AF (Avg Insurance) '!$J$18,""))),"")</f>
        <v>0</v>
      </c>
      <c r="L53" s="6">
        <f>IF(B53&lt;=$C$6,(IF(B53&lt;&gt;"",IF(AND('Input-AF (Avg Insurance) '!$H$19="Annual",MOD(B53,12)=0),'Input-AF (Avg Insurance) '!$J$19,IF(AND('Input-AF (Avg Insurance) '!$H$19="1st Installment",B53=1),'Input-AF (Avg Insurance) '!$J$19,IF('Input-AF (Avg Insurance) '!$H$19="Monthly",'Input-AF (Avg Insurance) '!$J$19,""))),""))," ")</f>
        <v>552</v>
      </c>
      <c r="M53" s="6">
        <f>IF(B53&lt;&gt;"",IF(AND('Input-AF (Avg Insurance) '!$H$20="Annual",MOD(B53,12)=0),'Input-AF (Avg Insurance) '!$J$20,IF(AND('Input-AF (Avg Insurance) '!$H$20="1st Installment",B53=1),'Input-AF (Avg Insurance) '!$J$20,IF('Input-AF (Avg Insurance) '!$H$20="Monthly",'Input-AF (Avg Insurance) '!$J$20,IF(AND('Input-AF (Avg Insurance) '!$H$20="End of the loan",B53='Input-AF (Avg Insurance) '!$E$22),'Input-AF (Avg Insurance) '!$J$20,"")))),"")</f>
        <v>0</v>
      </c>
      <c r="N53" s="6">
        <f t="shared" si="13"/>
        <v>552</v>
      </c>
      <c r="O53" s="4">
        <f t="shared" si="1"/>
        <v>5509.4165516832718</v>
      </c>
      <c r="S53" s="9">
        <f t="shared" si="2"/>
        <v>46381</v>
      </c>
      <c r="T53" s="5">
        <f t="shared" si="6"/>
        <v>5509.42</v>
      </c>
      <c r="V53" s="106"/>
    </row>
    <row r="54" spans="1:22" x14ac:dyDescent="0.2">
      <c r="A54" s="1">
        <f>IF(B54&lt;&gt;"",4,"")</f>
        <v>4</v>
      </c>
      <c r="B54" s="16">
        <f t="shared" si="7"/>
        <v>37</v>
      </c>
      <c r="C54" s="9">
        <f t="shared" si="8"/>
        <v>46412</v>
      </c>
      <c r="D54" s="6">
        <f>IFERROR(PPMT('Input-AF (Avg Insurance) '!$E$18/12,B54,$C$6,'Input-AF (Avg Insurance) '!$E$17,-$C$13,0)," ")</f>
        <v>-4273.4437937543535</v>
      </c>
      <c r="E54" s="6">
        <f>IFERROR(IPMT('Input-AF (Avg Insurance) '!$E$18/12,B54,$C$6,'Input-AF (Avg Insurance) '!$E$17,-$C$13,0)," ")</f>
        <v>-683.9727579289181</v>
      </c>
      <c r="F54" s="6">
        <f t="shared" si="9"/>
        <v>-146433.57657938861</v>
      </c>
      <c r="G54" s="6">
        <f t="shared" si="10"/>
        <v>-36990.835832892466</v>
      </c>
      <c r="H54" s="6">
        <f t="shared" si="4"/>
        <v>-4957.4165516832718</v>
      </c>
      <c r="I54" s="6">
        <f t="shared" si="5"/>
        <v>153566.42342061139</v>
      </c>
      <c r="J54" s="6" t="str">
        <f>IF(B54&lt;&gt;"",IF(AND('Input-AF (Avg Insurance) '!$H$17="Annual",MOD(B54,12)=0),'Input-AF (Avg Insurance) '!$J$17,IF(AND('Input-AF (Avg Insurance) '!$H$17="1st Installment",B54=1),'Input-AF (Avg Insurance) '!$J$17,IF('Input-AF (Avg Insurance) '!$H$17="Monthly",'Input-AF (Avg Insurance) '!$J$17,""))),"")</f>
        <v/>
      </c>
      <c r="K54" s="6" t="str">
        <f>IF(B54&lt;&gt;"",IF(AND('Input-AF (Avg Insurance) '!$H$18="Annual",MOD(B54,12)=0),'Input-AF (Avg Insurance) '!$J$18,IF(AND('Input-AF (Avg Insurance) '!$H$18="1st Installment",B54=1),'Input-AF (Avg Insurance) '!$J$18,IF('Input-AF (Avg Insurance) '!$H$18="Monthly",'Input-AF (Avg Insurance) '!$J$18,""))),"")</f>
        <v/>
      </c>
      <c r="L54" s="6">
        <f>IF(B54&lt;=$C$6,(IF(B54&lt;&gt;"",IF(AND('Input-AF (Avg Insurance) '!$H$19="Annual",MOD(B54,12)=0),'Input-AF (Avg Insurance) '!$J$19,IF(AND('Input-AF (Avg Insurance) '!$H$19="1st Installment",B54=1),'Input-AF (Avg Insurance) '!$J$19,IF('Input-AF (Avg Insurance) '!$H$19="Monthly",'Input-AF (Avg Insurance) '!$J$19,""))),""))," ")</f>
        <v>552</v>
      </c>
      <c r="M54" s="6">
        <f>IF(B54&lt;&gt;"",IF(AND('Input-AF (Avg Insurance) '!$H$20="Annual",MOD(B54,12)=0),'Input-AF (Avg Insurance) '!$J$20,IF(AND('Input-AF (Avg Insurance) '!$H$20="1st Installment",B54=1),'Input-AF (Avg Insurance) '!$J$20,IF('Input-AF (Avg Insurance) '!$H$20="Monthly",'Input-AF (Avg Insurance) '!$J$20,IF(AND('Input-AF (Avg Insurance) '!$H$20="End of the loan",B54='Input-AF (Avg Insurance) '!$E$22),'Input-AF (Avg Insurance) '!$J$20,"")))),"")</f>
        <v>0</v>
      </c>
      <c r="N54" s="6">
        <f t="shared" si="13"/>
        <v>552</v>
      </c>
      <c r="O54" s="4">
        <f t="shared" si="1"/>
        <v>5509.4165516832718</v>
      </c>
      <c r="S54" s="9">
        <f t="shared" si="2"/>
        <v>46412</v>
      </c>
      <c r="T54" s="5">
        <f t="shared" si="6"/>
        <v>5509.42</v>
      </c>
      <c r="V54" s="106"/>
    </row>
    <row r="55" spans="1:22" x14ac:dyDescent="0.2">
      <c r="A55" s="1">
        <f t="shared" ref="A55:A65" si="14">IF(B55&lt;&gt;"",4,"")</f>
        <v>4</v>
      </c>
      <c r="B55" s="16">
        <f t="shared" si="7"/>
        <v>38</v>
      </c>
      <c r="C55" s="9">
        <f t="shared" si="8"/>
        <v>46443</v>
      </c>
      <c r="D55" s="6">
        <f>IFERROR(PPMT('Input-AF (Avg Insurance) '!$E$18/12,B55,$C$6,'Input-AF (Avg Insurance) '!$E$17,-$C$13,0)," ")</f>
        <v>-4291.9620501939562</v>
      </c>
      <c r="E55" s="6">
        <f>IFERROR(IPMT('Input-AF (Avg Insurance) '!$E$18/12,B55,$C$6,'Input-AF (Avg Insurance) '!$E$17,-$C$13,0)," ")</f>
        <v>-665.45450148931582</v>
      </c>
      <c r="F55" s="6">
        <f t="shared" si="9"/>
        <v>-150725.53862958256</v>
      </c>
      <c r="G55" s="6">
        <f t="shared" si="10"/>
        <v>-37656.290334381782</v>
      </c>
      <c r="H55" s="6">
        <f t="shared" si="4"/>
        <v>-4957.4165516832718</v>
      </c>
      <c r="I55" s="6">
        <f t="shared" si="5"/>
        <v>149274.46137041744</v>
      </c>
      <c r="J55" s="6" t="str">
        <f>IF(B55&lt;&gt;"",IF(AND('Input-AF (Avg Insurance) '!$H$17="Annual",MOD(B55,12)=0),'Input-AF (Avg Insurance) '!$J$17,IF(AND('Input-AF (Avg Insurance) '!$H$17="1st Installment",B55=1),'Input-AF (Avg Insurance) '!$J$17,IF('Input-AF (Avg Insurance) '!$H$17="Monthly",'Input-AF (Avg Insurance) '!$J$17,""))),"")</f>
        <v/>
      </c>
      <c r="K55" s="6" t="str">
        <f>IF(B55&lt;&gt;"",IF(AND('Input-AF (Avg Insurance) '!$H$18="Annual",MOD(B55,12)=0),'Input-AF (Avg Insurance) '!$J$18,IF(AND('Input-AF (Avg Insurance) '!$H$18="1st Installment",B55=1),'Input-AF (Avg Insurance) '!$J$18,IF('Input-AF (Avg Insurance) '!$H$18="Monthly",'Input-AF (Avg Insurance) '!$J$18,""))),"")</f>
        <v/>
      </c>
      <c r="L55" s="6">
        <f>IF(B55&lt;=$C$6,(IF(B55&lt;&gt;"",IF(AND('Input-AF (Avg Insurance) '!$H$19="Annual",MOD(B55,12)=0),'Input-AF (Avg Insurance) '!$J$19,IF(AND('Input-AF (Avg Insurance) '!$H$19="1st Installment",B55=1),'Input-AF (Avg Insurance) '!$J$19,IF('Input-AF (Avg Insurance) '!$H$19="Monthly",'Input-AF (Avg Insurance) '!$J$19,""))),""))," ")</f>
        <v>552</v>
      </c>
      <c r="M55" s="6">
        <f>IF(B55&lt;&gt;"",IF(AND('Input-AF (Avg Insurance) '!$H$20="Annual",MOD(B55,12)=0),'Input-AF (Avg Insurance) '!$J$20,IF(AND('Input-AF (Avg Insurance) '!$H$20="1st Installment",B55=1),'Input-AF (Avg Insurance) '!$J$20,IF('Input-AF (Avg Insurance) '!$H$20="Monthly",'Input-AF (Avg Insurance) '!$J$20,IF(AND('Input-AF (Avg Insurance) '!$H$20="End of the loan",B55='Input-AF (Avg Insurance) '!$E$22),'Input-AF (Avg Insurance) '!$J$20,"")))),"")</f>
        <v>0</v>
      </c>
      <c r="N55" s="6">
        <f t="shared" si="13"/>
        <v>552</v>
      </c>
      <c r="O55" s="4">
        <f t="shared" si="1"/>
        <v>5509.4165516832718</v>
      </c>
      <c r="S55" s="9">
        <f t="shared" si="2"/>
        <v>46443</v>
      </c>
      <c r="T55" s="5">
        <f t="shared" si="6"/>
        <v>5509.42</v>
      </c>
      <c r="V55" s="106"/>
    </row>
    <row r="56" spans="1:22" x14ac:dyDescent="0.2">
      <c r="A56" s="1">
        <f t="shared" si="14"/>
        <v>4</v>
      </c>
      <c r="B56" s="16">
        <f t="shared" si="7"/>
        <v>39</v>
      </c>
      <c r="C56" s="9">
        <f t="shared" si="8"/>
        <v>46471</v>
      </c>
      <c r="D56" s="6">
        <f>IFERROR(PPMT('Input-AF (Avg Insurance) '!$E$18/12,B56,$C$6,'Input-AF (Avg Insurance) '!$E$17,-$C$13,0)," ")</f>
        <v>-4310.5605524114635</v>
      </c>
      <c r="E56" s="6">
        <f>IFERROR(IPMT('Input-AF (Avg Insurance) '!$E$18/12,B56,$C$6,'Input-AF (Avg Insurance) '!$E$17,-$C$13,0)," ")</f>
        <v>-646.85599927180874</v>
      </c>
      <c r="F56" s="6">
        <f t="shared" si="9"/>
        <v>-155036.09918199401</v>
      </c>
      <c r="G56" s="6">
        <f t="shared" si="10"/>
        <v>-38303.146333653589</v>
      </c>
      <c r="H56" s="6">
        <f t="shared" si="4"/>
        <v>-4957.4165516832727</v>
      </c>
      <c r="I56" s="6">
        <f t="shared" si="5"/>
        <v>144963.90081800599</v>
      </c>
      <c r="J56" s="6" t="str">
        <f>IF(B56&lt;&gt;"",IF(AND('Input-AF (Avg Insurance) '!$H$17="Annual",MOD(B56,12)=0),'Input-AF (Avg Insurance) '!$J$17,IF(AND('Input-AF (Avg Insurance) '!$H$17="1st Installment",B56=1),'Input-AF (Avg Insurance) '!$J$17,IF('Input-AF (Avg Insurance) '!$H$17="Monthly",'Input-AF (Avg Insurance) '!$J$17,""))),"")</f>
        <v/>
      </c>
      <c r="K56" s="6" t="str">
        <f>IF(B56&lt;&gt;"",IF(AND('Input-AF (Avg Insurance) '!$H$18="Annual",MOD(B56,12)=0),'Input-AF (Avg Insurance) '!$J$18,IF(AND('Input-AF (Avg Insurance) '!$H$18="1st Installment",B56=1),'Input-AF (Avg Insurance) '!$J$18,IF('Input-AF (Avg Insurance) '!$H$18="Monthly",'Input-AF (Avg Insurance) '!$J$18,""))),"")</f>
        <v/>
      </c>
      <c r="L56" s="6">
        <f>IF(B56&lt;=$C$6,(IF(B56&lt;&gt;"",IF(AND('Input-AF (Avg Insurance) '!$H$19="Annual",MOD(B56,12)=0),'Input-AF (Avg Insurance) '!$J$19,IF(AND('Input-AF (Avg Insurance) '!$H$19="1st Installment",B56=1),'Input-AF (Avg Insurance) '!$J$19,IF('Input-AF (Avg Insurance) '!$H$19="Monthly",'Input-AF (Avg Insurance) '!$J$19,""))),""))," ")</f>
        <v>552</v>
      </c>
      <c r="M56" s="6">
        <f>IF(B56&lt;&gt;"",IF(AND('Input-AF (Avg Insurance) '!$H$20="Annual",MOD(B56,12)=0),'Input-AF (Avg Insurance) '!$J$20,IF(AND('Input-AF (Avg Insurance) '!$H$20="1st Installment",B56=1),'Input-AF (Avg Insurance) '!$J$20,IF('Input-AF (Avg Insurance) '!$H$20="Monthly",'Input-AF (Avg Insurance) '!$J$20,IF(AND('Input-AF (Avg Insurance) '!$H$20="End of the loan",B56='Input-AF (Avg Insurance) '!$E$22),'Input-AF (Avg Insurance) '!$J$20,"")))),"")</f>
        <v>0</v>
      </c>
      <c r="N56" s="6">
        <f t="shared" si="13"/>
        <v>552</v>
      </c>
      <c r="O56" s="4">
        <f t="shared" si="1"/>
        <v>5509.4165516832727</v>
      </c>
      <c r="S56" s="9">
        <f t="shared" si="2"/>
        <v>46471</v>
      </c>
      <c r="T56" s="5">
        <f t="shared" si="6"/>
        <v>5509.42</v>
      </c>
      <c r="V56" s="106"/>
    </row>
    <row r="57" spans="1:22" x14ac:dyDescent="0.2">
      <c r="A57" s="1">
        <f t="shared" si="14"/>
        <v>4</v>
      </c>
      <c r="B57" s="16">
        <f t="shared" si="7"/>
        <v>40</v>
      </c>
      <c r="C57" s="9">
        <f t="shared" si="8"/>
        <v>46502</v>
      </c>
      <c r="D57" s="6">
        <f>IFERROR(PPMT('Input-AF (Avg Insurance) '!$E$18/12,B57,$C$6,'Input-AF (Avg Insurance) '!$E$17,-$C$13,0)," ")</f>
        <v>-4329.2396481385795</v>
      </c>
      <c r="E57" s="6">
        <f>IFERROR(IPMT('Input-AF (Avg Insurance) '!$E$18/12,B57,$C$6,'Input-AF (Avg Insurance) '!$E$17,-$C$13,0)," ")</f>
        <v>-628.17690354469244</v>
      </c>
      <c r="F57" s="6">
        <f t="shared" si="9"/>
        <v>-159365.33883013259</v>
      </c>
      <c r="G57" s="6">
        <f t="shared" si="10"/>
        <v>-38931.323237198281</v>
      </c>
      <c r="H57" s="6">
        <f t="shared" si="4"/>
        <v>-4957.4165516832718</v>
      </c>
      <c r="I57" s="6">
        <f t="shared" si="5"/>
        <v>140634.66116986741</v>
      </c>
      <c r="J57" s="6" t="str">
        <f>IF(B57&lt;&gt;"",IF(AND('Input-AF (Avg Insurance) '!$H$17="Annual",MOD(B57,12)=0),'Input-AF (Avg Insurance) '!$J$17,IF(AND('Input-AF (Avg Insurance) '!$H$17="1st Installment",B57=1),'Input-AF (Avg Insurance) '!$J$17,IF('Input-AF (Avg Insurance) '!$H$17="Monthly",'Input-AF (Avg Insurance) '!$J$17,""))),"")</f>
        <v/>
      </c>
      <c r="K57" s="6" t="str">
        <f>IF(B57&lt;&gt;"",IF(AND('Input-AF (Avg Insurance) '!$H$18="Annual",MOD(B57,12)=0),'Input-AF (Avg Insurance) '!$J$18,IF(AND('Input-AF (Avg Insurance) '!$H$18="1st Installment",B57=1),'Input-AF (Avg Insurance) '!$J$18,IF('Input-AF (Avg Insurance) '!$H$18="Monthly",'Input-AF (Avg Insurance) '!$J$18,""))),"")</f>
        <v/>
      </c>
      <c r="L57" s="6">
        <f>IF(B57&lt;=$C$6,(IF(B57&lt;&gt;"",IF(AND('Input-AF (Avg Insurance) '!$H$19="Annual",MOD(B57,12)=0),'Input-AF (Avg Insurance) '!$J$19,IF(AND('Input-AF (Avg Insurance) '!$H$19="1st Installment",B57=1),'Input-AF (Avg Insurance) '!$J$19,IF('Input-AF (Avg Insurance) '!$H$19="Monthly",'Input-AF (Avg Insurance) '!$J$19,""))),""))," ")</f>
        <v>552</v>
      </c>
      <c r="M57" s="6">
        <f>IF(B57&lt;&gt;"",IF(AND('Input-AF (Avg Insurance) '!$H$20="Annual",MOD(B57,12)=0),'Input-AF (Avg Insurance) '!$J$20,IF(AND('Input-AF (Avg Insurance) '!$H$20="1st Installment",B57=1),'Input-AF (Avg Insurance) '!$J$20,IF('Input-AF (Avg Insurance) '!$H$20="Monthly",'Input-AF (Avg Insurance) '!$J$20,IF(AND('Input-AF (Avg Insurance) '!$H$20="End of the loan",B57='Input-AF (Avg Insurance) '!$E$22),'Input-AF (Avg Insurance) '!$J$20,"")))),"")</f>
        <v>0</v>
      </c>
      <c r="N57" s="6">
        <f t="shared" si="13"/>
        <v>552</v>
      </c>
      <c r="O57" s="4">
        <f t="shared" si="1"/>
        <v>5509.4165516832718</v>
      </c>
      <c r="S57" s="9">
        <f t="shared" si="2"/>
        <v>46502</v>
      </c>
      <c r="T57" s="5">
        <f t="shared" si="6"/>
        <v>5509.42</v>
      </c>
      <c r="V57" s="106"/>
    </row>
    <row r="58" spans="1:22" x14ac:dyDescent="0.2">
      <c r="A58" s="1">
        <f t="shared" si="14"/>
        <v>4</v>
      </c>
      <c r="B58" s="16">
        <f t="shared" si="7"/>
        <v>41</v>
      </c>
      <c r="C58" s="9">
        <f t="shared" si="8"/>
        <v>46532</v>
      </c>
      <c r="D58" s="6">
        <f>IFERROR(PPMT('Input-AF (Avg Insurance) '!$E$18/12,B58,$C$6,'Input-AF (Avg Insurance) '!$E$17,-$C$13,0)," ")</f>
        <v>-4347.9996866138463</v>
      </c>
      <c r="E58" s="6">
        <f>IFERROR(IPMT('Input-AF (Avg Insurance) '!$E$18/12,B58,$C$6,'Input-AF (Avg Insurance) '!$E$17,-$C$13,0)," ")</f>
        <v>-609.41686506942528</v>
      </c>
      <c r="F58" s="6">
        <f t="shared" si="9"/>
        <v>-163713.33851674644</v>
      </c>
      <c r="G58" s="6">
        <f t="shared" si="10"/>
        <v>-39540.740102267708</v>
      </c>
      <c r="H58" s="6">
        <f t="shared" si="4"/>
        <v>-4957.4165516832718</v>
      </c>
      <c r="I58" s="6">
        <f t="shared" si="5"/>
        <v>136286.66148325356</v>
      </c>
      <c r="J58" s="6" t="str">
        <f>IF(B58&lt;&gt;"",IF(AND('Input-AF (Avg Insurance) '!$H$17="Annual",MOD(B58,12)=0),'Input-AF (Avg Insurance) '!$J$17,IF(AND('Input-AF (Avg Insurance) '!$H$17="1st Installment",B58=1),'Input-AF (Avg Insurance) '!$J$17,IF('Input-AF (Avg Insurance) '!$H$17="Monthly",'Input-AF (Avg Insurance) '!$J$17,""))),"")</f>
        <v/>
      </c>
      <c r="K58" s="6" t="str">
        <f>IF(B58&lt;&gt;"",IF(AND('Input-AF (Avg Insurance) '!$H$18="Annual",MOD(B58,12)=0),'Input-AF (Avg Insurance) '!$J$18,IF(AND('Input-AF (Avg Insurance) '!$H$18="1st Installment",B58=1),'Input-AF (Avg Insurance) '!$J$18,IF('Input-AF (Avg Insurance) '!$H$18="Monthly",'Input-AF (Avg Insurance) '!$J$18,""))),"")</f>
        <v/>
      </c>
      <c r="L58" s="6">
        <f>IF(B58&lt;=$C$6,(IF(B58&lt;&gt;"",IF(AND('Input-AF (Avg Insurance) '!$H$19="Annual",MOD(B58,12)=0),'Input-AF (Avg Insurance) '!$J$19,IF(AND('Input-AF (Avg Insurance) '!$H$19="1st Installment",B58=1),'Input-AF (Avg Insurance) '!$J$19,IF('Input-AF (Avg Insurance) '!$H$19="Monthly",'Input-AF (Avg Insurance) '!$J$19,""))),""))," ")</f>
        <v>552</v>
      </c>
      <c r="M58" s="6">
        <f>IF(B58&lt;&gt;"",IF(AND('Input-AF (Avg Insurance) '!$H$20="Annual",MOD(B58,12)=0),'Input-AF (Avg Insurance) '!$J$20,IF(AND('Input-AF (Avg Insurance) '!$H$20="1st Installment",B58=1),'Input-AF (Avg Insurance) '!$J$20,IF('Input-AF (Avg Insurance) '!$H$20="Monthly",'Input-AF (Avg Insurance) '!$J$20,IF(AND('Input-AF (Avg Insurance) '!$H$20="End of the loan",B58='Input-AF (Avg Insurance) '!$E$22),'Input-AF (Avg Insurance) '!$J$20,"")))),"")</f>
        <v>0</v>
      </c>
      <c r="N58" s="6">
        <f t="shared" si="13"/>
        <v>552</v>
      </c>
      <c r="O58" s="4">
        <f t="shared" si="1"/>
        <v>5509.4165516832718</v>
      </c>
      <c r="S58" s="9">
        <f t="shared" si="2"/>
        <v>46532</v>
      </c>
      <c r="T58" s="5">
        <f t="shared" si="6"/>
        <v>5509.42</v>
      </c>
      <c r="V58" s="106"/>
    </row>
    <row r="59" spans="1:22" x14ac:dyDescent="0.2">
      <c r="A59" s="1">
        <f t="shared" si="14"/>
        <v>4</v>
      </c>
      <c r="B59" s="16">
        <f t="shared" si="7"/>
        <v>42</v>
      </c>
      <c r="C59" s="9">
        <f t="shared" si="8"/>
        <v>46563</v>
      </c>
      <c r="D59" s="6">
        <f>IFERROR(PPMT('Input-AF (Avg Insurance) '!$E$18/12,B59,$C$6,'Input-AF (Avg Insurance) '!$E$17,-$C$13,0)," ")</f>
        <v>-4366.8410185891726</v>
      </c>
      <c r="E59" s="6">
        <f>IFERROR(IPMT('Input-AF (Avg Insurance) '!$E$18/12,B59,$C$6,'Input-AF (Avg Insurance) '!$E$17,-$C$13,0)," ")</f>
        <v>-590.57553309409855</v>
      </c>
      <c r="F59" s="6">
        <f t="shared" si="9"/>
        <v>-168080.17953533563</v>
      </c>
      <c r="G59" s="6">
        <f t="shared" si="10"/>
        <v>-40131.315635361803</v>
      </c>
      <c r="H59" s="6">
        <f t="shared" si="4"/>
        <v>-4957.4165516832709</v>
      </c>
      <c r="I59" s="6">
        <f t="shared" si="5"/>
        <v>131919.82046466437</v>
      </c>
      <c r="J59" s="6" t="str">
        <f>IF(B59&lt;&gt;"",IF(AND('Input-AF (Avg Insurance) '!$H$17="Annual",MOD(B59,12)=0),'Input-AF (Avg Insurance) '!$J$17,IF(AND('Input-AF (Avg Insurance) '!$H$17="1st Installment",B59=1),'Input-AF (Avg Insurance) '!$J$17,IF('Input-AF (Avg Insurance) '!$H$17="Monthly",'Input-AF (Avg Insurance) '!$J$17,""))),"")</f>
        <v/>
      </c>
      <c r="K59" s="6" t="str">
        <f>IF(B59&lt;&gt;"",IF(AND('Input-AF (Avg Insurance) '!$H$18="Annual",MOD(B59,12)=0),'Input-AF (Avg Insurance) '!$J$18,IF(AND('Input-AF (Avg Insurance) '!$H$18="1st Installment",B59=1),'Input-AF (Avg Insurance) '!$J$18,IF('Input-AF (Avg Insurance) '!$H$18="Monthly",'Input-AF (Avg Insurance) '!$J$18,""))),"")</f>
        <v/>
      </c>
      <c r="L59" s="6">
        <f>IF(B59&lt;=$C$6,(IF(B59&lt;&gt;"",IF(AND('Input-AF (Avg Insurance) '!$H$19="Annual",MOD(B59,12)=0),'Input-AF (Avg Insurance) '!$J$19,IF(AND('Input-AF (Avg Insurance) '!$H$19="1st Installment",B59=1),'Input-AF (Avg Insurance) '!$J$19,IF('Input-AF (Avg Insurance) '!$H$19="Monthly",'Input-AF (Avg Insurance) '!$J$19,""))),""))," ")</f>
        <v>552</v>
      </c>
      <c r="M59" s="6">
        <f>IF(B59&lt;&gt;"",IF(AND('Input-AF (Avg Insurance) '!$H$20="Annual",MOD(B59,12)=0),'Input-AF (Avg Insurance) '!$J$20,IF(AND('Input-AF (Avg Insurance) '!$H$20="1st Installment",B59=1),'Input-AF (Avg Insurance) '!$J$20,IF('Input-AF (Avg Insurance) '!$H$20="Monthly",'Input-AF (Avg Insurance) '!$J$20,IF(AND('Input-AF (Avg Insurance) '!$H$20="End of the loan",B59='Input-AF (Avg Insurance) '!$E$22),'Input-AF (Avg Insurance) '!$J$20,"")))),"")</f>
        <v>0</v>
      </c>
      <c r="N59" s="6">
        <f t="shared" si="13"/>
        <v>552</v>
      </c>
      <c r="O59" s="4">
        <f t="shared" si="1"/>
        <v>5509.4165516832709</v>
      </c>
      <c r="S59" s="9">
        <f t="shared" si="2"/>
        <v>46563</v>
      </c>
      <c r="T59" s="5">
        <f t="shared" si="6"/>
        <v>5509.42</v>
      </c>
      <c r="V59" s="106"/>
    </row>
    <row r="60" spans="1:22" x14ac:dyDescent="0.2">
      <c r="A60" s="1">
        <f t="shared" si="14"/>
        <v>4</v>
      </c>
      <c r="B60" s="16">
        <f t="shared" si="7"/>
        <v>43</v>
      </c>
      <c r="C60" s="9">
        <f t="shared" si="8"/>
        <v>46593</v>
      </c>
      <c r="D60" s="6">
        <f>IFERROR(PPMT('Input-AF (Avg Insurance) '!$E$18/12,B60,$C$6,'Input-AF (Avg Insurance) '!$E$17,-$C$13,0)," ")</f>
        <v>-4385.7639963363927</v>
      </c>
      <c r="E60" s="6">
        <f>IFERROR(IPMT('Input-AF (Avg Insurance) '!$E$18/12,B60,$C$6,'Input-AF (Avg Insurance) '!$E$17,-$C$13,0)," ")</f>
        <v>-571.6525553468789</v>
      </c>
      <c r="F60" s="6">
        <f t="shared" si="9"/>
        <v>-172465.94353167203</v>
      </c>
      <c r="G60" s="6">
        <f t="shared" si="10"/>
        <v>-40702.968190708685</v>
      </c>
      <c r="H60" s="6">
        <f t="shared" si="4"/>
        <v>-4957.4165516832718</v>
      </c>
      <c r="I60" s="6">
        <f t="shared" si="5"/>
        <v>127534.05646832797</v>
      </c>
      <c r="J60" s="6" t="str">
        <f>IF(B60&lt;&gt;"",IF(AND('Input-AF (Avg Insurance) '!$H$17="Annual",MOD(B60,12)=0),'Input-AF (Avg Insurance) '!$J$17,IF(AND('Input-AF (Avg Insurance) '!$H$17="1st Installment",B60=1),'Input-AF (Avg Insurance) '!$J$17,IF('Input-AF (Avg Insurance) '!$H$17="Monthly",'Input-AF (Avg Insurance) '!$J$17,""))),"")</f>
        <v/>
      </c>
      <c r="K60" s="6" t="str">
        <f>IF(B60&lt;&gt;"",IF(AND('Input-AF (Avg Insurance) '!$H$18="Annual",MOD(B60,12)=0),'Input-AF (Avg Insurance) '!$J$18,IF(AND('Input-AF (Avg Insurance) '!$H$18="1st Installment",B60=1),'Input-AF (Avg Insurance) '!$J$18,IF('Input-AF (Avg Insurance) '!$H$18="Monthly",'Input-AF (Avg Insurance) '!$J$18,""))),"")</f>
        <v/>
      </c>
      <c r="L60" s="6">
        <f>IF(B60&lt;=$C$6,(IF(B60&lt;&gt;"",IF(AND('Input-AF (Avg Insurance) '!$H$19="Annual",MOD(B60,12)=0),'Input-AF (Avg Insurance) '!$J$19,IF(AND('Input-AF (Avg Insurance) '!$H$19="1st Installment",B60=1),'Input-AF (Avg Insurance) '!$J$19,IF('Input-AF (Avg Insurance) '!$H$19="Monthly",'Input-AF (Avg Insurance) '!$J$19,""))),""))," ")</f>
        <v>552</v>
      </c>
      <c r="M60" s="6">
        <f>IF(B60&lt;&gt;"",IF(AND('Input-AF (Avg Insurance) '!$H$20="Annual",MOD(B60,12)=0),'Input-AF (Avg Insurance) '!$J$20,IF(AND('Input-AF (Avg Insurance) '!$H$20="1st Installment",B60=1),'Input-AF (Avg Insurance) '!$J$20,IF('Input-AF (Avg Insurance) '!$H$20="Monthly",'Input-AF (Avg Insurance) '!$J$20,IF(AND('Input-AF (Avg Insurance) '!$H$20="End of the loan",B60='Input-AF (Avg Insurance) '!$E$22),'Input-AF (Avg Insurance) '!$J$20,"")))),"")</f>
        <v>0</v>
      </c>
      <c r="N60" s="6">
        <f t="shared" si="13"/>
        <v>552</v>
      </c>
      <c r="O60" s="4">
        <f t="shared" si="1"/>
        <v>5509.4165516832718</v>
      </c>
      <c r="S60" s="9">
        <f t="shared" si="2"/>
        <v>46593</v>
      </c>
      <c r="T60" s="5">
        <f t="shared" si="6"/>
        <v>5509.42</v>
      </c>
      <c r="V60" s="106"/>
    </row>
    <row r="61" spans="1:22" x14ac:dyDescent="0.2">
      <c r="A61" s="1">
        <f t="shared" si="14"/>
        <v>4</v>
      </c>
      <c r="B61" s="16">
        <f t="shared" si="7"/>
        <v>44</v>
      </c>
      <c r="C61" s="9">
        <f t="shared" si="8"/>
        <v>46624</v>
      </c>
      <c r="D61" s="6">
        <f>IFERROR(PPMT('Input-AF (Avg Insurance) '!$E$18/12,B61,$C$6,'Input-AF (Avg Insurance) '!$E$17,-$C$13,0)," ")</f>
        <v>-4404.7689736538505</v>
      </c>
      <c r="E61" s="6">
        <f>IFERROR(IPMT('Input-AF (Avg Insurance) '!$E$18/12,B61,$C$6,'Input-AF (Avg Insurance) '!$E$17,-$C$13,0)," ")</f>
        <v>-552.6475780294212</v>
      </c>
      <c r="F61" s="6">
        <f t="shared" si="9"/>
        <v>-176870.71250532588</v>
      </c>
      <c r="G61" s="6">
        <f t="shared" si="10"/>
        <v>-41255.615768738106</v>
      </c>
      <c r="H61" s="6">
        <f t="shared" si="4"/>
        <v>-4957.4165516832718</v>
      </c>
      <c r="I61" s="6">
        <f t="shared" si="5"/>
        <v>123129.28749467412</v>
      </c>
      <c r="J61" s="6" t="str">
        <f>IF(B61&lt;&gt;"",IF(AND('Input-AF (Avg Insurance) '!$H$17="Annual",MOD(B61,12)=0),'Input-AF (Avg Insurance) '!$J$17,IF(AND('Input-AF (Avg Insurance) '!$H$17="1st Installment",B61=1),'Input-AF (Avg Insurance) '!$J$17,IF('Input-AF (Avg Insurance) '!$H$17="Monthly",'Input-AF (Avg Insurance) '!$J$17,""))),"")</f>
        <v/>
      </c>
      <c r="K61" s="6" t="str">
        <f>IF(B61&lt;&gt;"",IF(AND('Input-AF (Avg Insurance) '!$H$18="Annual",MOD(B61,12)=0),'Input-AF (Avg Insurance) '!$J$18,IF(AND('Input-AF (Avg Insurance) '!$H$18="1st Installment",B61=1),'Input-AF (Avg Insurance) '!$J$18,IF('Input-AF (Avg Insurance) '!$H$18="Monthly",'Input-AF (Avg Insurance) '!$J$18,""))),"")</f>
        <v/>
      </c>
      <c r="L61" s="6">
        <f>IF(B61&lt;=$C$6,(IF(B61&lt;&gt;"",IF(AND('Input-AF (Avg Insurance) '!$H$19="Annual",MOD(B61,12)=0),'Input-AF (Avg Insurance) '!$J$19,IF(AND('Input-AF (Avg Insurance) '!$H$19="1st Installment",B61=1),'Input-AF (Avg Insurance) '!$J$19,IF('Input-AF (Avg Insurance) '!$H$19="Monthly",'Input-AF (Avg Insurance) '!$J$19,""))),""))," ")</f>
        <v>552</v>
      </c>
      <c r="M61" s="6">
        <f>IF(B61&lt;&gt;"",IF(AND('Input-AF (Avg Insurance) '!$H$20="Annual",MOD(B61,12)=0),'Input-AF (Avg Insurance) '!$J$20,IF(AND('Input-AF (Avg Insurance) '!$H$20="1st Installment",B61=1),'Input-AF (Avg Insurance) '!$J$20,IF('Input-AF (Avg Insurance) '!$H$20="Monthly",'Input-AF (Avg Insurance) '!$J$20,IF(AND('Input-AF (Avg Insurance) '!$H$20="End of the loan",B61='Input-AF (Avg Insurance) '!$E$22),'Input-AF (Avg Insurance) '!$J$20,"")))),"")</f>
        <v>0</v>
      </c>
      <c r="N61" s="6">
        <f t="shared" si="13"/>
        <v>552</v>
      </c>
      <c r="O61" s="4">
        <f t="shared" si="1"/>
        <v>5509.4165516832718</v>
      </c>
      <c r="S61" s="9">
        <f t="shared" si="2"/>
        <v>46624</v>
      </c>
      <c r="T61" s="5">
        <f t="shared" si="6"/>
        <v>5509.42</v>
      </c>
      <c r="V61" s="106"/>
    </row>
    <row r="62" spans="1:22" x14ac:dyDescent="0.2">
      <c r="A62" s="1">
        <f t="shared" si="14"/>
        <v>4</v>
      </c>
      <c r="B62" s="16">
        <f t="shared" si="7"/>
        <v>45</v>
      </c>
      <c r="C62" s="9">
        <f t="shared" si="8"/>
        <v>46655</v>
      </c>
      <c r="D62" s="6">
        <f>IFERROR(PPMT('Input-AF (Avg Insurance) '!$E$18/12,B62,$C$6,'Input-AF (Avg Insurance) '!$E$17,-$C$13,0)," ")</f>
        <v>-4423.8563058730169</v>
      </c>
      <c r="E62" s="6">
        <f>IFERROR(IPMT('Input-AF (Avg Insurance) '!$E$18/12,B62,$C$6,'Input-AF (Avg Insurance) '!$E$17,-$C$13,0)," ")</f>
        <v>-533.5602458102544</v>
      </c>
      <c r="F62" s="6">
        <f t="shared" si="9"/>
        <v>-181294.5688111989</v>
      </c>
      <c r="G62" s="6">
        <f t="shared" si="10"/>
        <v>-41789.176014548357</v>
      </c>
      <c r="H62" s="6">
        <f t="shared" si="4"/>
        <v>-4957.4165516832709</v>
      </c>
      <c r="I62" s="6">
        <f t="shared" si="5"/>
        <v>118705.4311888011</v>
      </c>
      <c r="J62" s="6" t="str">
        <f>IF(B62&lt;&gt;"",IF(AND('Input-AF (Avg Insurance) '!$H$17="Annual",MOD(B62,12)=0),'Input-AF (Avg Insurance) '!$J$17,IF(AND('Input-AF (Avg Insurance) '!$H$17="1st Installment",B62=1),'Input-AF (Avg Insurance) '!$J$17,IF('Input-AF (Avg Insurance) '!$H$17="Monthly",'Input-AF (Avg Insurance) '!$J$17,""))),"")</f>
        <v/>
      </c>
      <c r="K62" s="6" t="str">
        <f>IF(B62&lt;&gt;"",IF(AND('Input-AF (Avg Insurance) '!$H$18="Annual",MOD(B62,12)=0),'Input-AF (Avg Insurance) '!$J$18,IF(AND('Input-AF (Avg Insurance) '!$H$18="1st Installment",B62=1),'Input-AF (Avg Insurance) '!$J$18,IF('Input-AF (Avg Insurance) '!$H$18="Monthly",'Input-AF (Avg Insurance) '!$J$18,""))),"")</f>
        <v/>
      </c>
      <c r="L62" s="6">
        <f>IF(B62&lt;=$C$6,(IF(B62&lt;&gt;"",IF(AND('Input-AF (Avg Insurance) '!$H$19="Annual",MOD(B62,12)=0),'Input-AF (Avg Insurance) '!$J$19,IF(AND('Input-AF (Avg Insurance) '!$H$19="1st Installment",B62=1),'Input-AF (Avg Insurance) '!$J$19,IF('Input-AF (Avg Insurance) '!$H$19="Monthly",'Input-AF (Avg Insurance) '!$J$19,""))),""))," ")</f>
        <v>552</v>
      </c>
      <c r="M62" s="6">
        <f>IF(B62&lt;&gt;"",IF(AND('Input-AF (Avg Insurance) '!$H$20="Annual",MOD(B62,12)=0),'Input-AF (Avg Insurance) '!$J$20,IF(AND('Input-AF (Avg Insurance) '!$H$20="1st Installment",B62=1),'Input-AF (Avg Insurance) '!$J$20,IF('Input-AF (Avg Insurance) '!$H$20="Monthly",'Input-AF (Avg Insurance) '!$J$20,IF(AND('Input-AF (Avg Insurance) '!$H$20="End of the loan",B62='Input-AF (Avg Insurance) '!$E$22),'Input-AF (Avg Insurance) '!$J$20,"")))),"")</f>
        <v>0</v>
      </c>
      <c r="N62" s="6">
        <f t="shared" si="13"/>
        <v>552</v>
      </c>
      <c r="O62" s="4">
        <f t="shared" si="1"/>
        <v>5509.4165516832709</v>
      </c>
      <c r="S62" s="9">
        <f t="shared" si="2"/>
        <v>46655</v>
      </c>
      <c r="T62" s="5">
        <f t="shared" si="6"/>
        <v>5509.42</v>
      </c>
      <c r="V62" s="106"/>
    </row>
    <row r="63" spans="1:22" x14ac:dyDescent="0.2">
      <c r="A63" s="1">
        <f t="shared" si="14"/>
        <v>4</v>
      </c>
      <c r="B63" s="16">
        <f t="shared" si="7"/>
        <v>46</v>
      </c>
      <c r="C63" s="9">
        <f t="shared" si="8"/>
        <v>46685</v>
      </c>
      <c r="D63" s="6">
        <f>IFERROR(PPMT('Input-AF (Avg Insurance) '!$E$18/12,B63,$C$6,'Input-AF (Avg Insurance) '!$E$17,-$C$13,0)," ")</f>
        <v>-4443.0263498651339</v>
      </c>
      <c r="E63" s="6">
        <f>IFERROR(IPMT('Input-AF (Avg Insurance) '!$E$18/12,B63,$C$6,'Input-AF (Avg Insurance) '!$E$17,-$C$13,0)," ")</f>
        <v>-514.39020181813805</v>
      </c>
      <c r="F63" s="6">
        <f t="shared" si="9"/>
        <v>-185737.59516106403</v>
      </c>
      <c r="G63" s="6">
        <f t="shared" si="10"/>
        <v>-42303.566216366497</v>
      </c>
      <c r="H63" s="6">
        <f t="shared" si="4"/>
        <v>-4957.4165516832718</v>
      </c>
      <c r="I63" s="6">
        <f t="shared" si="5"/>
        <v>114262.40483893597</v>
      </c>
      <c r="J63" s="6" t="str">
        <f>IF(B63&lt;&gt;"",IF(AND('Input-AF (Avg Insurance) '!$H$17="Annual",MOD(B63,12)=0),'Input-AF (Avg Insurance) '!$J$17,IF(AND('Input-AF (Avg Insurance) '!$H$17="1st Installment",B63=1),'Input-AF (Avg Insurance) '!$J$17,IF('Input-AF (Avg Insurance) '!$H$17="Monthly",'Input-AF (Avg Insurance) '!$J$17,""))),"")</f>
        <v/>
      </c>
      <c r="K63" s="6" t="str">
        <f>IF(B63&lt;&gt;"",IF(AND('Input-AF (Avg Insurance) '!$H$18="Annual",MOD(B63,12)=0),'Input-AF (Avg Insurance) '!$J$18,IF(AND('Input-AF (Avg Insurance) '!$H$18="1st Installment",B63=1),'Input-AF (Avg Insurance) '!$J$18,IF('Input-AF (Avg Insurance) '!$H$18="Monthly",'Input-AF (Avg Insurance) '!$J$18,""))),"")</f>
        <v/>
      </c>
      <c r="L63" s="6">
        <f>IF(B63&lt;=$C$6,(IF(B63&lt;&gt;"",IF(AND('Input-AF (Avg Insurance) '!$H$19="Annual",MOD(B63,12)=0),'Input-AF (Avg Insurance) '!$J$19,IF(AND('Input-AF (Avg Insurance) '!$H$19="1st Installment",B63=1),'Input-AF (Avg Insurance) '!$J$19,IF('Input-AF (Avg Insurance) '!$H$19="Monthly",'Input-AF (Avg Insurance) '!$J$19,""))),""))," ")</f>
        <v>552</v>
      </c>
      <c r="M63" s="6">
        <f>IF(B63&lt;&gt;"",IF(AND('Input-AF (Avg Insurance) '!$H$20="Annual",MOD(B63,12)=0),'Input-AF (Avg Insurance) '!$J$20,IF(AND('Input-AF (Avg Insurance) '!$H$20="1st Installment",B63=1),'Input-AF (Avg Insurance) '!$J$20,IF('Input-AF (Avg Insurance) '!$H$20="Monthly",'Input-AF (Avg Insurance) '!$J$20,IF(AND('Input-AF (Avg Insurance) '!$H$20="End of the loan",B63='Input-AF (Avg Insurance) '!$E$22),'Input-AF (Avg Insurance) '!$J$20,"")))),"")</f>
        <v>0</v>
      </c>
      <c r="N63" s="6">
        <f t="shared" si="13"/>
        <v>552</v>
      </c>
      <c r="O63" s="4">
        <f t="shared" si="1"/>
        <v>5509.4165516832718</v>
      </c>
      <c r="S63" s="9">
        <f t="shared" si="2"/>
        <v>46685</v>
      </c>
      <c r="T63" s="5">
        <f t="shared" si="6"/>
        <v>5509.42</v>
      </c>
      <c r="V63" s="106"/>
    </row>
    <row r="64" spans="1:22" x14ac:dyDescent="0.2">
      <c r="A64" s="1">
        <f t="shared" si="14"/>
        <v>4</v>
      </c>
      <c r="B64" s="16">
        <f t="shared" si="7"/>
        <v>47</v>
      </c>
      <c r="C64" s="9">
        <f t="shared" si="8"/>
        <v>46716</v>
      </c>
      <c r="D64" s="6">
        <f>IFERROR(PPMT('Input-AF (Avg Insurance) '!$E$18/12,B64,$C$6,'Input-AF (Avg Insurance) '!$E$17,-$C$13,0)," ")</f>
        <v>-4462.2794640478824</v>
      </c>
      <c r="E64" s="6">
        <f>IFERROR(IPMT('Input-AF (Avg Insurance) '!$E$18/12,B64,$C$6,'Input-AF (Avg Insurance) '!$E$17,-$C$13,0)," ")</f>
        <v>-495.13708763538915</v>
      </c>
      <c r="F64" s="6">
        <f t="shared" si="9"/>
        <v>-190199.87462511193</v>
      </c>
      <c r="G64" s="6">
        <f t="shared" si="10"/>
        <v>-42798.703304001887</v>
      </c>
      <c r="H64" s="6">
        <f t="shared" si="4"/>
        <v>-4957.4165516832718</v>
      </c>
      <c r="I64" s="6">
        <f t="shared" si="5"/>
        <v>109800.12537488807</v>
      </c>
      <c r="J64" s="6" t="str">
        <f>IF(B64&lt;&gt;"",IF(AND('Input-AF (Avg Insurance) '!$H$17="Annual",MOD(B64,12)=0),'Input-AF (Avg Insurance) '!$J$17,IF(AND('Input-AF (Avg Insurance) '!$H$17="1st Installment",B64=1),'Input-AF (Avg Insurance) '!$J$17,IF('Input-AF (Avg Insurance) '!$H$17="Monthly",'Input-AF (Avg Insurance) '!$J$17,""))),"")</f>
        <v/>
      </c>
      <c r="K64" s="6" t="str">
        <f>IF(B64&lt;&gt;"",IF(AND('Input-AF (Avg Insurance) '!$H$18="Annual",MOD(B64,12)=0),'Input-AF (Avg Insurance) '!$J$18,IF(AND('Input-AF (Avg Insurance) '!$H$18="1st Installment",B64=1),'Input-AF (Avg Insurance) '!$J$18,IF('Input-AF (Avg Insurance) '!$H$18="Monthly",'Input-AF (Avg Insurance) '!$J$18,""))),"")</f>
        <v/>
      </c>
      <c r="L64" s="6">
        <f>IF(B64&lt;=$C$6,(IF(B64&lt;&gt;"",IF(AND('Input-AF (Avg Insurance) '!$H$19="Annual",MOD(B64,12)=0),'Input-AF (Avg Insurance) '!$J$19,IF(AND('Input-AF (Avg Insurance) '!$H$19="1st Installment",B64=1),'Input-AF (Avg Insurance) '!$J$19,IF('Input-AF (Avg Insurance) '!$H$19="Monthly",'Input-AF (Avg Insurance) '!$J$19,""))),""))," ")</f>
        <v>552</v>
      </c>
      <c r="M64" s="6">
        <f>IF(B64&lt;&gt;"",IF(AND('Input-AF (Avg Insurance) '!$H$20="Annual",MOD(B64,12)=0),'Input-AF (Avg Insurance) '!$J$20,IF(AND('Input-AF (Avg Insurance) '!$H$20="1st Installment",B64=1),'Input-AF (Avg Insurance) '!$J$20,IF('Input-AF (Avg Insurance) '!$H$20="Monthly",'Input-AF (Avg Insurance) '!$J$20,IF(AND('Input-AF (Avg Insurance) '!$H$20="End of the loan",B64='Input-AF (Avg Insurance) '!$E$22),'Input-AF (Avg Insurance) '!$J$20,"")))),"")</f>
        <v>0</v>
      </c>
      <c r="N64" s="6">
        <f t="shared" si="13"/>
        <v>552</v>
      </c>
      <c r="O64" s="4">
        <f t="shared" si="1"/>
        <v>5509.4165516832718</v>
      </c>
      <c r="S64" s="9">
        <f t="shared" si="2"/>
        <v>46716</v>
      </c>
      <c r="T64" s="5">
        <f t="shared" si="6"/>
        <v>5509.42</v>
      </c>
      <c r="V64" s="106"/>
    </row>
    <row r="65" spans="1:22" x14ac:dyDescent="0.2">
      <c r="A65" s="1">
        <f t="shared" si="14"/>
        <v>4</v>
      </c>
      <c r="B65" s="16">
        <f t="shared" si="7"/>
        <v>48</v>
      </c>
      <c r="C65" s="9">
        <f t="shared" si="8"/>
        <v>46746</v>
      </c>
      <c r="D65" s="6">
        <f>IFERROR(PPMT('Input-AF (Avg Insurance) '!$E$18/12,B65,$C$6,'Input-AF (Avg Insurance) '!$E$17,-$C$13,0)," ")</f>
        <v>-4481.6160083920904</v>
      </c>
      <c r="E65" s="6">
        <f>IFERROR(IPMT('Input-AF (Avg Insurance) '!$E$18/12,B65,$C$6,'Input-AF (Avg Insurance) '!$E$17,-$C$13,0)," ")</f>
        <v>-475.80054329118161</v>
      </c>
      <c r="F65" s="6">
        <f t="shared" si="9"/>
        <v>-194681.49063350403</v>
      </c>
      <c r="G65" s="6">
        <f t="shared" si="10"/>
        <v>-43274.503847293068</v>
      </c>
      <c r="H65" s="6">
        <f t="shared" si="4"/>
        <v>-4957.4165516832718</v>
      </c>
      <c r="I65" s="6">
        <f t="shared" si="5"/>
        <v>105318.50936649597</v>
      </c>
      <c r="J65" s="6" t="str">
        <f>IF(B65&lt;&gt;"",IF(AND('Input-AF (Avg Insurance) '!$H$17="Annual",MOD(B65,12)=0),'Input-AF (Avg Insurance) '!$J$17,IF(AND('Input-AF (Avg Insurance) '!$H$17="1st Installment",B65=1),'Input-AF (Avg Insurance) '!$J$17,IF('Input-AF (Avg Insurance) '!$H$17="Monthly",'Input-AF (Avg Insurance) '!$J$17,""))),"")</f>
        <v/>
      </c>
      <c r="K65" s="6">
        <f>IF(B65&lt;&gt;"",IF(AND('Input-AF (Avg Insurance) '!$H$18="Annual",MOD(B65,12)=0),'Input-AF (Avg Insurance) '!$J$18,IF(AND('Input-AF (Avg Insurance) '!$H$18="1st Installment",B65=1),'Input-AF (Avg Insurance) '!$J$18,IF('Input-AF (Avg Insurance) '!$H$18="Monthly",'Input-AF (Avg Insurance) '!$J$18,""))),"")</f>
        <v>0</v>
      </c>
      <c r="L65" s="6">
        <f>IF(B65&lt;=$C$6,(IF(B65&lt;&gt;"",IF(AND('Input-AF (Avg Insurance) '!$H$19="Annual",MOD(B65,12)=0),'Input-AF (Avg Insurance) '!$J$19,IF(AND('Input-AF (Avg Insurance) '!$H$19="1st Installment",B65=1),'Input-AF (Avg Insurance) '!$J$19,IF('Input-AF (Avg Insurance) '!$H$19="Monthly",'Input-AF (Avg Insurance) '!$J$19,""))),""))," ")</f>
        <v>552</v>
      </c>
      <c r="M65" s="6">
        <f>IF(B65&lt;&gt;"",IF(AND('Input-AF (Avg Insurance) '!$H$20="Annual",MOD(B65,12)=0),'Input-AF (Avg Insurance) '!$J$20,IF(AND('Input-AF (Avg Insurance) '!$H$20="1st Installment",B65=1),'Input-AF (Avg Insurance) '!$J$20,IF('Input-AF (Avg Insurance) '!$H$20="Monthly",'Input-AF (Avg Insurance) '!$J$20,IF(AND('Input-AF (Avg Insurance) '!$H$20="End of the loan",B65='Input-AF (Avg Insurance) '!$E$22),'Input-AF (Avg Insurance) '!$J$20,"")))),"")</f>
        <v>0</v>
      </c>
      <c r="N65" s="6">
        <f t="shared" si="13"/>
        <v>552</v>
      </c>
      <c r="O65" s="4">
        <f t="shared" si="1"/>
        <v>5509.4165516832718</v>
      </c>
      <c r="S65" s="9">
        <f t="shared" si="2"/>
        <v>46746</v>
      </c>
      <c r="T65" s="5">
        <f t="shared" si="6"/>
        <v>5509.42</v>
      </c>
      <c r="V65" s="106"/>
    </row>
    <row r="66" spans="1:22" x14ac:dyDescent="0.2">
      <c r="A66" s="1">
        <f>IF(B66&lt;&gt;"",5,"")</f>
        <v>5</v>
      </c>
      <c r="B66" s="16">
        <f t="shared" si="7"/>
        <v>49</v>
      </c>
      <c r="C66" s="9">
        <f t="shared" si="8"/>
        <v>46777</v>
      </c>
      <c r="D66" s="6">
        <f>IFERROR(PPMT('Input-AF (Avg Insurance) '!$E$18/12,B66,$C$6,'Input-AF (Avg Insurance) '!$E$17,-$C$13,0)," ")</f>
        <v>-4501.0363444284558</v>
      </c>
      <c r="E66" s="6">
        <f>IFERROR(IPMT('Input-AF (Avg Insurance) '!$E$18/12,B66,$C$6,'Input-AF (Avg Insurance) '!$E$17,-$C$13,0)," ")</f>
        <v>-456.38020725481596</v>
      </c>
      <c r="F66" s="6">
        <f t="shared" si="9"/>
        <v>-199182.52697793249</v>
      </c>
      <c r="G66" s="6">
        <f t="shared" si="10"/>
        <v>-43730.884054547882</v>
      </c>
      <c r="H66" s="6">
        <f t="shared" si="4"/>
        <v>-4957.4165516832718</v>
      </c>
      <c r="I66" s="6">
        <f t="shared" si="5"/>
        <v>100817.47302206751</v>
      </c>
      <c r="J66" s="6" t="str">
        <f>IF(B66&lt;&gt;"",IF(AND('Input-AF (Avg Insurance) '!$H$17="Annual",MOD(B66,12)=0),'Input-AF (Avg Insurance) '!$J$17,IF(AND('Input-AF (Avg Insurance) '!$H$17="1st Installment",B66=1),'Input-AF (Avg Insurance) '!$J$17,IF('Input-AF (Avg Insurance) '!$H$17="Monthly",'Input-AF (Avg Insurance) '!$J$17,""))),"")</f>
        <v/>
      </c>
      <c r="K66" s="6" t="str">
        <f>IF(B66&lt;&gt;"",IF(AND('Input-AF (Avg Insurance) '!$H$18="Annual",MOD(B66,12)=0),'Input-AF (Avg Insurance) '!$J$18,IF(AND('Input-AF (Avg Insurance) '!$H$18="1st Installment",B66=1),'Input-AF (Avg Insurance) '!$J$18,IF('Input-AF (Avg Insurance) '!$H$18="Monthly",'Input-AF (Avg Insurance) '!$J$18,""))),"")</f>
        <v/>
      </c>
      <c r="L66" s="6">
        <f>IF(B66&lt;=$C$6,(IF(B66&lt;&gt;"",IF(AND('Input-AF (Avg Insurance) '!$H$19="Annual",MOD(B66,12)=0),'Input-AF (Avg Insurance) '!$J$19,IF(AND('Input-AF (Avg Insurance) '!$H$19="1st Installment",B66=1),'Input-AF (Avg Insurance) '!$J$19,IF('Input-AF (Avg Insurance) '!$H$19="Monthly",'Input-AF (Avg Insurance) '!$J$19,""))),""))," ")</f>
        <v>552</v>
      </c>
      <c r="M66" s="6">
        <f>IF(B66&lt;&gt;"",IF(AND('Input-AF (Avg Insurance) '!$H$20="Annual",MOD(B66,12)=0),'Input-AF (Avg Insurance) '!$J$20,IF(AND('Input-AF (Avg Insurance) '!$H$20="1st Installment",B66=1),'Input-AF (Avg Insurance) '!$J$20,IF('Input-AF (Avg Insurance) '!$H$20="Monthly",'Input-AF (Avg Insurance) '!$J$20,IF(AND('Input-AF (Avg Insurance) '!$H$20="End of the loan",B66='Input-AF (Avg Insurance) '!$E$22),'Input-AF (Avg Insurance) '!$J$20,"")))),"")</f>
        <v>0</v>
      </c>
      <c r="N66" s="6">
        <f t="shared" si="13"/>
        <v>552</v>
      </c>
      <c r="O66" s="4">
        <f t="shared" si="1"/>
        <v>5509.4165516832718</v>
      </c>
      <c r="S66" s="9">
        <f t="shared" si="2"/>
        <v>46777</v>
      </c>
      <c r="T66" s="5">
        <f t="shared" si="6"/>
        <v>5509.42</v>
      </c>
      <c r="V66" s="106"/>
    </row>
    <row r="67" spans="1:22" x14ac:dyDescent="0.2">
      <c r="A67" s="1">
        <f t="shared" ref="A67:A77" si="15">IF(B67&lt;&gt;"",5,"")</f>
        <v>5</v>
      </c>
      <c r="B67" s="16">
        <f t="shared" si="7"/>
        <v>50</v>
      </c>
      <c r="C67" s="9">
        <f t="shared" si="8"/>
        <v>46808</v>
      </c>
      <c r="D67" s="6">
        <f>IFERROR(PPMT('Input-AF (Avg Insurance) '!$E$18/12,B67,$C$6,'Input-AF (Avg Insurance) '!$E$17,-$C$13,0)," ")</f>
        <v>-4520.5408352543127</v>
      </c>
      <c r="E67" s="6">
        <f>IFERROR(IPMT('Input-AF (Avg Insurance) '!$E$18/12,B67,$C$6,'Input-AF (Avg Insurance) '!$E$17,-$C$13,0)," ")</f>
        <v>-436.87571642895932</v>
      </c>
      <c r="F67" s="6">
        <f t="shared" si="9"/>
        <v>-203703.06781318679</v>
      </c>
      <c r="G67" s="6">
        <f t="shared" si="10"/>
        <v>-44167.759770976838</v>
      </c>
      <c r="H67" s="6">
        <f t="shared" si="4"/>
        <v>-4957.4165516832718</v>
      </c>
      <c r="I67" s="6">
        <f t="shared" si="5"/>
        <v>96296.93218681321</v>
      </c>
      <c r="J67" s="6" t="str">
        <f>IF(B67&lt;&gt;"",IF(AND('Input-AF (Avg Insurance) '!$H$17="Annual",MOD(B67,12)=0),'Input-AF (Avg Insurance) '!$J$17,IF(AND('Input-AF (Avg Insurance) '!$H$17="1st Installment",B67=1),'Input-AF (Avg Insurance) '!$J$17,IF('Input-AF (Avg Insurance) '!$H$17="Monthly",'Input-AF (Avg Insurance) '!$J$17,""))),"")</f>
        <v/>
      </c>
      <c r="K67" s="6" t="str">
        <f>IF(B67&lt;&gt;"",IF(AND('Input-AF (Avg Insurance) '!$H$18="Annual",MOD(B67,12)=0),'Input-AF (Avg Insurance) '!$J$18,IF(AND('Input-AF (Avg Insurance) '!$H$18="1st Installment",B67=1),'Input-AF (Avg Insurance) '!$J$18,IF('Input-AF (Avg Insurance) '!$H$18="Monthly",'Input-AF (Avg Insurance) '!$J$18,""))),"")</f>
        <v/>
      </c>
      <c r="L67" s="6">
        <f>IF(B67&lt;=$C$6,(IF(B67&lt;&gt;"",IF(AND('Input-AF (Avg Insurance) '!$H$19="Annual",MOD(B67,12)=0),'Input-AF (Avg Insurance) '!$J$19,IF(AND('Input-AF (Avg Insurance) '!$H$19="1st Installment",B67=1),'Input-AF (Avg Insurance) '!$J$19,IF('Input-AF (Avg Insurance) '!$H$19="Monthly",'Input-AF (Avg Insurance) '!$J$19,""))),""))," ")</f>
        <v>552</v>
      </c>
      <c r="M67" s="6">
        <f>IF(B67&lt;&gt;"",IF(AND('Input-AF (Avg Insurance) '!$H$20="Annual",MOD(B67,12)=0),'Input-AF (Avg Insurance) '!$J$20,IF(AND('Input-AF (Avg Insurance) '!$H$20="1st Installment",B67=1),'Input-AF (Avg Insurance) '!$J$20,IF('Input-AF (Avg Insurance) '!$H$20="Monthly",'Input-AF (Avg Insurance) '!$J$20,IF(AND('Input-AF (Avg Insurance) '!$H$20="End of the loan",B67='Input-AF (Avg Insurance) '!$E$22),'Input-AF (Avg Insurance) '!$J$20,"")))),"")</f>
        <v>0</v>
      </c>
      <c r="N67" s="6">
        <f t="shared" si="13"/>
        <v>552</v>
      </c>
      <c r="O67" s="4">
        <f t="shared" si="1"/>
        <v>5509.4165516832718</v>
      </c>
      <c r="S67" s="9">
        <f t="shared" si="2"/>
        <v>46808</v>
      </c>
      <c r="T67" s="5">
        <f t="shared" si="6"/>
        <v>5509.42</v>
      </c>
      <c r="V67" s="106"/>
    </row>
    <row r="68" spans="1:22" x14ac:dyDescent="0.2">
      <c r="A68" s="1">
        <f t="shared" si="15"/>
        <v>5</v>
      </c>
      <c r="B68" s="16">
        <f t="shared" si="7"/>
        <v>51</v>
      </c>
      <c r="C68" s="9">
        <f t="shared" si="8"/>
        <v>46837</v>
      </c>
      <c r="D68" s="6">
        <f>IFERROR(PPMT('Input-AF (Avg Insurance) '!$E$18/12,B68,$C$6,'Input-AF (Avg Insurance) '!$E$17,-$C$13,0)," ")</f>
        <v>-4540.1298455404149</v>
      </c>
      <c r="E68" s="6">
        <f>IFERROR(IPMT('Input-AF (Avg Insurance) '!$E$18/12,B68,$C$6,'Input-AF (Avg Insurance) '!$E$17,-$C$13,0)," ")</f>
        <v>-417.28670614285727</v>
      </c>
      <c r="F68" s="6">
        <f t="shared" si="9"/>
        <v>-208243.19765872721</v>
      </c>
      <c r="G68" s="6">
        <f t="shared" si="10"/>
        <v>-44585.046477119693</v>
      </c>
      <c r="H68" s="6">
        <f t="shared" si="4"/>
        <v>-4957.4165516832718</v>
      </c>
      <c r="I68" s="6">
        <f t="shared" si="5"/>
        <v>91756.802341272793</v>
      </c>
      <c r="J68" s="6" t="str">
        <f>IF(B68&lt;&gt;"",IF(AND('Input-AF (Avg Insurance) '!$H$17="Annual",MOD(B68,12)=0),'Input-AF (Avg Insurance) '!$J$17,IF(AND('Input-AF (Avg Insurance) '!$H$17="1st Installment",B68=1),'Input-AF (Avg Insurance) '!$J$17,IF('Input-AF (Avg Insurance) '!$H$17="Monthly",'Input-AF (Avg Insurance) '!$J$17,""))),"")</f>
        <v/>
      </c>
      <c r="K68" s="6" t="str">
        <f>IF(B68&lt;&gt;"",IF(AND('Input-AF (Avg Insurance) '!$H$18="Annual",MOD(B68,12)=0),'Input-AF (Avg Insurance) '!$J$18,IF(AND('Input-AF (Avg Insurance) '!$H$18="1st Installment",B68=1),'Input-AF (Avg Insurance) '!$J$18,IF('Input-AF (Avg Insurance) '!$H$18="Monthly",'Input-AF (Avg Insurance) '!$J$18,""))),"")</f>
        <v/>
      </c>
      <c r="L68" s="6">
        <f>IF(B68&lt;=$C$6,(IF(B68&lt;&gt;"",IF(AND('Input-AF (Avg Insurance) '!$H$19="Annual",MOD(B68,12)=0),'Input-AF (Avg Insurance) '!$J$19,IF(AND('Input-AF (Avg Insurance) '!$H$19="1st Installment",B68=1),'Input-AF (Avg Insurance) '!$J$19,IF('Input-AF (Avg Insurance) '!$H$19="Monthly",'Input-AF (Avg Insurance) '!$J$19,""))),""))," ")</f>
        <v>552</v>
      </c>
      <c r="M68" s="6">
        <f>IF(B68&lt;&gt;"",IF(AND('Input-AF (Avg Insurance) '!$H$20="Annual",MOD(B68,12)=0),'Input-AF (Avg Insurance) '!$J$20,IF(AND('Input-AF (Avg Insurance) '!$H$20="1st Installment",B68=1),'Input-AF (Avg Insurance) '!$J$20,IF('Input-AF (Avg Insurance) '!$H$20="Monthly",'Input-AF (Avg Insurance) '!$J$20,IF(AND('Input-AF (Avg Insurance) '!$H$20="End of the loan",B68='Input-AF (Avg Insurance) '!$E$22),'Input-AF (Avg Insurance) '!$J$20,"")))),"")</f>
        <v>0</v>
      </c>
      <c r="N68" s="6">
        <f t="shared" si="13"/>
        <v>552</v>
      </c>
      <c r="O68" s="4">
        <f t="shared" si="1"/>
        <v>5509.4165516832718</v>
      </c>
      <c r="S68" s="9">
        <f t="shared" si="2"/>
        <v>46837</v>
      </c>
      <c r="T68" s="5">
        <f t="shared" si="6"/>
        <v>5509.42</v>
      </c>
      <c r="V68" s="106"/>
    </row>
    <row r="69" spans="1:22" x14ac:dyDescent="0.2">
      <c r="A69" s="1">
        <f t="shared" si="15"/>
        <v>5</v>
      </c>
      <c r="B69" s="16">
        <f t="shared" si="7"/>
        <v>52</v>
      </c>
      <c r="C69" s="9">
        <f t="shared" si="8"/>
        <v>46868</v>
      </c>
      <c r="D69" s="6">
        <f>IFERROR(PPMT('Input-AF (Avg Insurance) '!$E$18/12,B69,$C$6,'Input-AF (Avg Insurance) '!$E$17,-$C$13,0)," ")</f>
        <v>-4559.8037415377567</v>
      </c>
      <c r="E69" s="6">
        <f>IFERROR(IPMT('Input-AF (Avg Insurance) '!$E$18/12,B69,$C$6,'Input-AF (Avg Insurance) '!$E$17,-$C$13,0)," ")</f>
        <v>-397.61281014551548</v>
      </c>
      <c r="F69" s="6">
        <f t="shared" si="9"/>
        <v>-212803.00140026497</v>
      </c>
      <c r="G69" s="6">
        <f t="shared" si="10"/>
        <v>-44982.659287265211</v>
      </c>
      <c r="H69" s="6">
        <f t="shared" si="4"/>
        <v>-4957.4165516832718</v>
      </c>
      <c r="I69" s="6">
        <f t="shared" si="5"/>
        <v>87196.99859973503</v>
      </c>
      <c r="J69" s="6" t="str">
        <f>IF(B69&lt;&gt;"",IF(AND('Input-AF (Avg Insurance) '!$H$17="Annual",MOD(B69,12)=0),'Input-AF (Avg Insurance) '!$J$17,IF(AND('Input-AF (Avg Insurance) '!$H$17="1st Installment",B69=1),'Input-AF (Avg Insurance) '!$J$17,IF('Input-AF (Avg Insurance) '!$H$17="Monthly",'Input-AF (Avg Insurance) '!$J$17,""))),"")</f>
        <v/>
      </c>
      <c r="K69" s="6" t="str">
        <f>IF(B69&lt;&gt;"",IF(AND('Input-AF (Avg Insurance) '!$H$18="Annual",MOD(B69,12)=0),'Input-AF (Avg Insurance) '!$J$18,IF(AND('Input-AF (Avg Insurance) '!$H$18="1st Installment",B69=1),'Input-AF (Avg Insurance) '!$J$18,IF('Input-AF (Avg Insurance) '!$H$18="Monthly",'Input-AF (Avg Insurance) '!$J$18,""))),"")</f>
        <v/>
      </c>
      <c r="L69" s="6">
        <f>IF(B69&lt;=$C$6,(IF(B69&lt;&gt;"",IF(AND('Input-AF (Avg Insurance) '!$H$19="Annual",MOD(B69,12)=0),'Input-AF (Avg Insurance) '!$J$19,IF(AND('Input-AF (Avg Insurance) '!$H$19="1st Installment",B69=1),'Input-AF (Avg Insurance) '!$J$19,IF('Input-AF (Avg Insurance) '!$H$19="Monthly",'Input-AF (Avg Insurance) '!$J$19,""))),""))," ")</f>
        <v>552</v>
      </c>
      <c r="M69" s="6">
        <f>IF(B69&lt;&gt;"",IF(AND('Input-AF (Avg Insurance) '!$H$20="Annual",MOD(B69,12)=0),'Input-AF (Avg Insurance) '!$J$20,IF(AND('Input-AF (Avg Insurance) '!$H$20="1st Installment",B69=1),'Input-AF (Avg Insurance) '!$J$20,IF('Input-AF (Avg Insurance) '!$H$20="Monthly",'Input-AF (Avg Insurance) '!$J$20,IF(AND('Input-AF (Avg Insurance) '!$H$20="End of the loan",B69='Input-AF (Avg Insurance) '!$E$22),'Input-AF (Avg Insurance) '!$J$20,"")))),"")</f>
        <v>0</v>
      </c>
      <c r="N69" s="6">
        <f t="shared" si="13"/>
        <v>552</v>
      </c>
      <c r="O69" s="4">
        <f t="shared" si="1"/>
        <v>5509.4165516832718</v>
      </c>
      <c r="S69" s="9">
        <f t="shared" si="2"/>
        <v>46868</v>
      </c>
      <c r="T69" s="5">
        <f t="shared" si="6"/>
        <v>5509.42</v>
      </c>
      <c r="V69" s="106"/>
    </row>
    <row r="70" spans="1:22" x14ac:dyDescent="0.2">
      <c r="A70" s="1">
        <f t="shared" si="15"/>
        <v>5</v>
      </c>
      <c r="B70" s="16">
        <f t="shared" si="7"/>
        <v>53</v>
      </c>
      <c r="C70" s="9">
        <f t="shared" si="8"/>
        <v>46898</v>
      </c>
      <c r="D70" s="6">
        <f>IFERROR(PPMT('Input-AF (Avg Insurance) '!$E$18/12,B70,$C$6,'Input-AF (Avg Insurance) '!$E$17,-$C$13,0)," ")</f>
        <v>-4579.5628910844198</v>
      </c>
      <c r="E70" s="6">
        <f>IFERROR(IPMT('Input-AF (Avg Insurance) '!$E$18/12,B70,$C$6,'Input-AF (Avg Insurance) '!$E$17,-$C$13,0)," ")</f>
        <v>-377.85366059885189</v>
      </c>
      <c r="F70" s="6">
        <f t="shared" si="9"/>
        <v>-217382.56429134938</v>
      </c>
      <c r="G70" s="6">
        <f t="shared" si="10"/>
        <v>-45360.512947864059</v>
      </c>
      <c r="H70" s="6">
        <f t="shared" si="4"/>
        <v>-4957.4165516832718</v>
      </c>
      <c r="I70" s="6">
        <f t="shared" si="5"/>
        <v>82617.435708650621</v>
      </c>
      <c r="J70" s="6" t="str">
        <f>IF(B70&lt;&gt;"",IF(AND('Input-AF (Avg Insurance) '!$H$17="Annual",MOD(B70,12)=0),'Input-AF (Avg Insurance) '!$J$17,IF(AND('Input-AF (Avg Insurance) '!$H$17="1st Installment",B70=1),'Input-AF (Avg Insurance) '!$J$17,IF('Input-AF (Avg Insurance) '!$H$17="Monthly",'Input-AF (Avg Insurance) '!$J$17,""))),"")</f>
        <v/>
      </c>
      <c r="K70" s="6" t="str">
        <f>IF(B70&lt;&gt;"",IF(AND('Input-AF (Avg Insurance) '!$H$18="Annual",MOD(B70,12)=0),'Input-AF (Avg Insurance) '!$J$18,IF(AND('Input-AF (Avg Insurance) '!$H$18="1st Installment",B70=1),'Input-AF (Avg Insurance) '!$J$18,IF('Input-AF (Avg Insurance) '!$H$18="Monthly",'Input-AF (Avg Insurance) '!$J$18,""))),"")</f>
        <v/>
      </c>
      <c r="L70" s="6">
        <f>IF(B70&lt;=$C$6,(IF(B70&lt;&gt;"",IF(AND('Input-AF (Avg Insurance) '!$H$19="Annual",MOD(B70,12)=0),'Input-AF (Avg Insurance) '!$J$19,IF(AND('Input-AF (Avg Insurance) '!$H$19="1st Installment",B70=1),'Input-AF (Avg Insurance) '!$J$19,IF('Input-AF (Avg Insurance) '!$H$19="Monthly",'Input-AF (Avg Insurance) '!$J$19,""))),""))," ")</f>
        <v>552</v>
      </c>
      <c r="M70" s="6">
        <f>IF(B70&lt;&gt;"",IF(AND('Input-AF (Avg Insurance) '!$H$20="Annual",MOD(B70,12)=0),'Input-AF (Avg Insurance) '!$J$20,IF(AND('Input-AF (Avg Insurance) '!$H$20="1st Installment",B70=1),'Input-AF (Avg Insurance) '!$J$20,IF('Input-AF (Avg Insurance) '!$H$20="Monthly",'Input-AF (Avg Insurance) '!$J$20,IF(AND('Input-AF (Avg Insurance) '!$H$20="End of the loan",B70='Input-AF (Avg Insurance) '!$E$22),'Input-AF (Avg Insurance) '!$J$20,"")))),"")</f>
        <v>0</v>
      </c>
      <c r="N70" s="6">
        <f t="shared" si="13"/>
        <v>552</v>
      </c>
      <c r="O70" s="4">
        <f t="shared" si="1"/>
        <v>5509.4165516832718</v>
      </c>
      <c r="S70" s="9">
        <f t="shared" si="2"/>
        <v>46898</v>
      </c>
      <c r="T70" s="5">
        <f t="shared" si="6"/>
        <v>5509.42</v>
      </c>
      <c r="V70" s="106"/>
    </row>
    <row r="71" spans="1:22" x14ac:dyDescent="0.2">
      <c r="A71" s="1">
        <f t="shared" si="15"/>
        <v>5</v>
      </c>
      <c r="B71" s="16">
        <f t="shared" si="7"/>
        <v>54</v>
      </c>
      <c r="C71" s="9">
        <f t="shared" si="8"/>
        <v>46929</v>
      </c>
      <c r="D71" s="6">
        <f>IFERROR(PPMT('Input-AF (Avg Insurance) '!$E$18/12,B71,$C$6,'Input-AF (Avg Insurance) '!$E$17,-$C$13,0)," ")</f>
        <v>-4599.4076636124528</v>
      </c>
      <c r="E71" s="6">
        <f>IFERROR(IPMT('Input-AF (Avg Insurance) '!$E$18/12,B71,$C$6,'Input-AF (Avg Insurance) '!$E$17,-$C$13,0)," ")</f>
        <v>-358.00888807081941</v>
      </c>
      <c r="F71" s="6">
        <f t="shared" si="9"/>
        <v>-221981.97195496183</v>
      </c>
      <c r="G71" s="6">
        <f t="shared" si="10"/>
        <v>-45718.52183593488</v>
      </c>
      <c r="H71" s="6">
        <f t="shared" si="4"/>
        <v>-4957.4165516832718</v>
      </c>
      <c r="I71" s="6">
        <f t="shared" si="5"/>
        <v>78018.028045038169</v>
      </c>
      <c r="J71" s="6" t="str">
        <f>IF(B71&lt;&gt;"",IF(AND('Input-AF (Avg Insurance) '!$H$17="Annual",MOD(B71,12)=0),'Input-AF (Avg Insurance) '!$J$17,IF(AND('Input-AF (Avg Insurance) '!$H$17="1st Installment",B71=1),'Input-AF (Avg Insurance) '!$J$17,IF('Input-AF (Avg Insurance) '!$H$17="Monthly",'Input-AF (Avg Insurance) '!$J$17,""))),"")</f>
        <v/>
      </c>
      <c r="K71" s="6" t="str">
        <f>IF(B71&lt;&gt;"",IF(AND('Input-AF (Avg Insurance) '!$H$18="Annual",MOD(B71,12)=0),'Input-AF (Avg Insurance) '!$J$18,IF(AND('Input-AF (Avg Insurance) '!$H$18="1st Installment",B71=1),'Input-AF (Avg Insurance) '!$J$18,IF('Input-AF (Avg Insurance) '!$H$18="Monthly",'Input-AF (Avg Insurance) '!$J$18,""))),"")</f>
        <v/>
      </c>
      <c r="L71" s="6">
        <f>IF(B71&lt;=$C$6,(IF(B71&lt;&gt;"",IF(AND('Input-AF (Avg Insurance) '!$H$19="Annual",MOD(B71,12)=0),'Input-AF (Avg Insurance) '!$J$19,IF(AND('Input-AF (Avg Insurance) '!$H$19="1st Installment",B71=1),'Input-AF (Avg Insurance) '!$J$19,IF('Input-AF (Avg Insurance) '!$H$19="Monthly",'Input-AF (Avg Insurance) '!$J$19,""))),""))," ")</f>
        <v>552</v>
      </c>
      <c r="M71" s="6">
        <f>IF(B71&lt;&gt;"",IF(AND('Input-AF (Avg Insurance) '!$H$20="Annual",MOD(B71,12)=0),'Input-AF (Avg Insurance) '!$J$20,IF(AND('Input-AF (Avg Insurance) '!$H$20="1st Installment",B71=1),'Input-AF (Avg Insurance) '!$J$20,IF('Input-AF (Avg Insurance) '!$H$20="Monthly",'Input-AF (Avg Insurance) '!$J$20,IF(AND('Input-AF (Avg Insurance) '!$H$20="End of the loan",B71='Input-AF (Avg Insurance) '!$E$22),'Input-AF (Avg Insurance) '!$J$20,"")))),"")</f>
        <v>0</v>
      </c>
      <c r="N71" s="6">
        <f t="shared" si="13"/>
        <v>552</v>
      </c>
      <c r="O71" s="4">
        <f t="shared" si="1"/>
        <v>5509.4165516832718</v>
      </c>
      <c r="S71" s="9">
        <f t="shared" si="2"/>
        <v>46929</v>
      </c>
      <c r="T71" s="5">
        <f t="shared" si="6"/>
        <v>5509.42</v>
      </c>
      <c r="V71" s="106"/>
    </row>
    <row r="72" spans="1:22" x14ac:dyDescent="0.2">
      <c r="A72" s="1">
        <f t="shared" si="15"/>
        <v>5</v>
      </c>
      <c r="B72" s="16">
        <f t="shared" si="7"/>
        <v>55</v>
      </c>
      <c r="C72" s="9">
        <f t="shared" si="8"/>
        <v>46959</v>
      </c>
      <c r="D72" s="6">
        <f>IFERROR(PPMT('Input-AF (Avg Insurance) '!$E$18/12,B72,$C$6,'Input-AF (Avg Insurance) '!$E$17,-$C$13,0)," ")</f>
        <v>-4619.3384301547731</v>
      </c>
      <c r="E72" s="6">
        <f>IFERROR(IPMT('Input-AF (Avg Insurance) '!$E$18/12,B72,$C$6,'Input-AF (Avg Insurance) '!$E$17,-$C$13,0)," ")</f>
        <v>-338.0781215284988</v>
      </c>
      <c r="F72" s="6">
        <f t="shared" si="9"/>
        <v>-226601.31038511661</v>
      </c>
      <c r="G72" s="6">
        <f t="shared" si="10"/>
        <v>-46056.599957463382</v>
      </c>
      <c r="H72" s="6">
        <f t="shared" si="4"/>
        <v>-4957.4165516832718</v>
      </c>
      <c r="I72" s="6">
        <f t="shared" si="5"/>
        <v>73398.689614883391</v>
      </c>
      <c r="J72" s="6" t="str">
        <f>IF(B72&lt;&gt;"",IF(AND('Input-AF (Avg Insurance) '!$H$17="Annual",MOD(B72,12)=0),'Input-AF (Avg Insurance) '!$J$17,IF(AND('Input-AF (Avg Insurance) '!$H$17="1st Installment",B72=1),'Input-AF (Avg Insurance) '!$J$17,IF('Input-AF (Avg Insurance) '!$H$17="Monthly",'Input-AF (Avg Insurance) '!$J$17,""))),"")</f>
        <v/>
      </c>
      <c r="K72" s="6" t="str">
        <f>IF(B72&lt;&gt;"",IF(AND('Input-AF (Avg Insurance) '!$H$18="Annual",MOD(B72,12)=0),'Input-AF (Avg Insurance) '!$J$18,IF(AND('Input-AF (Avg Insurance) '!$H$18="1st Installment",B72=1),'Input-AF (Avg Insurance) '!$J$18,IF('Input-AF (Avg Insurance) '!$H$18="Monthly",'Input-AF (Avg Insurance) '!$J$18,""))),"")</f>
        <v/>
      </c>
      <c r="L72" s="6">
        <f>IF(B72&lt;=$C$6,(IF(B72&lt;&gt;"",IF(AND('Input-AF (Avg Insurance) '!$H$19="Annual",MOD(B72,12)=0),'Input-AF (Avg Insurance) '!$J$19,IF(AND('Input-AF (Avg Insurance) '!$H$19="1st Installment",B72=1),'Input-AF (Avg Insurance) '!$J$19,IF('Input-AF (Avg Insurance) '!$H$19="Monthly",'Input-AF (Avg Insurance) '!$J$19,""))),""))," ")</f>
        <v>552</v>
      </c>
      <c r="M72" s="6">
        <f>IF(B72&lt;&gt;"",IF(AND('Input-AF (Avg Insurance) '!$H$20="Annual",MOD(B72,12)=0),'Input-AF (Avg Insurance) '!$J$20,IF(AND('Input-AF (Avg Insurance) '!$H$20="1st Installment",B72=1),'Input-AF (Avg Insurance) '!$J$20,IF('Input-AF (Avg Insurance) '!$H$20="Monthly",'Input-AF (Avg Insurance) '!$J$20,IF(AND('Input-AF (Avg Insurance) '!$H$20="End of the loan",B72='Input-AF (Avg Insurance) '!$E$22),'Input-AF (Avg Insurance) '!$J$20,"")))),"")</f>
        <v>0</v>
      </c>
      <c r="N72" s="6">
        <f t="shared" si="13"/>
        <v>552</v>
      </c>
      <c r="O72" s="4">
        <f t="shared" si="1"/>
        <v>5509.4165516832718</v>
      </c>
      <c r="S72" s="9">
        <f t="shared" si="2"/>
        <v>46959</v>
      </c>
      <c r="T72" s="5">
        <f t="shared" si="6"/>
        <v>5509.42</v>
      </c>
      <c r="V72" s="106"/>
    </row>
    <row r="73" spans="1:22" x14ac:dyDescent="0.2">
      <c r="A73" s="1">
        <f t="shared" si="15"/>
        <v>5</v>
      </c>
      <c r="B73" s="16">
        <f t="shared" si="7"/>
        <v>56</v>
      </c>
      <c r="C73" s="9">
        <f t="shared" si="8"/>
        <v>46990</v>
      </c>
      <c r="D73" s="6">
        <f>IFERROR(PPMT('Input-AF (Avg Insurance) '!$E$18/12,B73,$C$6,'Input-AF (Avg Insurance) '!$E$17,-$C$13,0)," ")</f>
        <v>-4639.35556335211</v>
      </c>
      <c r="E73" s="6">
        <f>IFERROR(IPMT('Input-AF (Avg Insurance) '!$E$18/12,B73,$C$6,'Input-AF (Avg Insurance) '!$E$17,-$C$13,0)," ")</f>
        <v>-318.06098833116147</v>
      </c>
      <c r="F73" s="6">
        <f t="shared" si="9"/>
        <v>-231240.66594846873</v>
      </c>
      <c r="G73" s="6">
        <f t="shared" si="10"/>
        <v>-46374.660945794545</v>
      </c>
      <c r="H73" s="6">
        <f t="shared" si="4"/>
        <v>-4957.4165516832718</v>
      </c>
      <c r="I73" s="6">
        <f t="shared" si="5"/>
        <v>68759.334051531274</v>
      </c>
      <c r="J73" s="6" t="str">
        <f>IF(B73&lt;&gt;"",IF(AND('Input-AF (Avg Insurance) '!$H$17="Annual",MOD(B73,12)=0),'Input-AF (Avg Insurance) '!$J$17,IF(AND('Input-AF (Avg Insurance) '!$H$17="1st Installment",B73=1),'Input-AF (Avg Insurance) '!$J$17,IF('Input-AF (Avg Insurance) '!$H$17="Monthly",'Input-AF (Avg Insurance) '!$J$17,""))),"")</f>
        <v/>
      </c>
      <c r="K73" s="6" t="str">
        <f>IF(B73&lt;&gt;"",IF(AND('Input-AF (Avg Insurance) '!$H$18="Annual",MOD(B73,12)=0),'Input-AF (Avg Insurance) '!$J$18,IF(AND('Input-AF (Avg Insurance) '!$H$18="1st Installment",B73=1),'Input-AF (Avg Insurance) '!$J$18,IF('Input-AF (Avg Insurance) '!$H$18="Monthly",'Input-AF (Avg Insurance) '!$J$18,""))),"")</f>
        <v/>
      </c>
      <c r="L73" s="6">
        <f>IF(B73&lt;=$C$6,(IF(B73&lt;&gt;"",IF(AND('Input-AF (Avg Insurance) '!$H$19="Annual",MOD(B73,12)=0),'Input-AF (Avg Insurance) '!$J$19,IF(AND('Input-AF (Avg Insurance) '!$H$19="1st Installment",B73=1),'Input-AF (Avg Insurance) '!$J$19,IF('Input-AF (Avg Insurance) '!$H$19="Monthly",'Input-AF (Avg Insurance) '!$J$19,""))),""))," ")</f>
        <v>552</v>
      </c>
      <c r="M73" s="6">
        <f>IF(B73&lt;&gt;"",IF(AND('Input-AF (Avg Insurance) '!$H$20="Annual",MOD(B73,12)=0),'Input-AF (Avg Insurance) '!$J$20,IF(AND('Input-AF (Avg Insurance) '!$H$20="1st Installment",B73=1),'Input-AF (Avg Insurance) '!$J$20,IF('Input-AF (Avg Insurance) '!$H$20="Monthly",'Input-AF (Avg Insurance) '!$J$20,IF(AND('Input-AF (Avg Insurance) '!$H$20="End of the loan",B73='Input-AF (Avg Insurance) '!$E$22),'Input-AF (Avg Insurance) '!$J$20,"")))),"")</f>
        <v>0</v>
      </c>
      <c r="N73" s="6">
        <f t="shared" si="13"/>
        <v>552</v>
      </c>
      <c r="O73" s="4">
        <f t="shared" si="1"/>
        <v>5509.4165516832718</v>
      </c>
      <c r="S73" s="9">
        <f t="shared" si="2"/>
        <v>46990</v>
      </c>
      <c r="T73" s="5">
        <f t="shared" si="6"/>
        <v>5509.42</v>
      </c>
      <c r="V73" s="106"/>
    </row>
    <row r="74" spans="1:22" x14ac:dyDescent="0.2">
      <c r="A74" s="1">
        <f t="shared" si="15"/>
        <v>5</v>
      </c>
      <c r="B74" s="16">
        <f t="shared" si="7"/>
        <v>57</v>
      </c>
      <c r="C74" s="9">
        <f t="shared" si="8"/>
        <v>47021</v>
      </c>
      <c r="D74" s="6">
        <f>IFERROR(PPMT('Input-AF (Avg Insurance) '!$E$18/12,B74,$C$6,'Input-AF (Avg Insurance) '!$E$17,-$C$13,0)," ")</f>
        <v>-4659.4594374599692</v>
      </c>
      <c r="E74" s="6">
        <f>IFERROR(IPMT('Input-AF (Avg Insurance) '!$E$18/12,B74,$C$6,'Input-AF (Avg Insurance) '!$E$17,-$C$13,0)," ")</f>
        <v>-297.95711422330231</v>
      </c>
      <c r="F74" s="6">
        <f t="shared" si="9"/>
        <v>-235900.1253859287</v>
      </c>
      <c r="G74" s="6">
        <f t="shared" si="10"/>
        <v>-46672.618060017849</v>
      </c>
      <c r="H74" s="6">
        <f t="shared" si="4"/>
        <v>-4957.4165516832718</v>
      </c>
      <c r="I74" s="6">
        <f t="shared" si="5"/>
        <v>64099.874614071305</v>
      </c>
      <c r="J74" s="6" t="str">
        <f>IF(B74&lt;&gt;"",IF(AND('Input-AF (Avg Insurance) '!$H$17="Annual",MOD(B74,12)=0),'Input-AF (Avg Insurance) '!$J$17,IF(AND('Input-AF (Avg Insurance) '!$H$17="1st Installment",B74=1),'Input-AF (Avg Insurance) '!$J$17,IF('Input-AF (Avg Insurance) '!$H$17="Monthly",'Input-AF (Avg Insurance) '!$J$17,""))),"")</f>
        <v/>
      </c>
      <c r="K74" s="6" t="str">
        <f>IF(B74&lt;&gt;"",IF(AND('Input-AF (Avg Insurance) '!$H$18="Annual",MOD(B74,12)=0),'Input-AF (Avg Insurance) '!$J$18,IF(AND('Input-AF (Avg Insurance) '!$H$18="1st Installment",B74=1),'Input-AF (Avg Insurance) '!$J$18,IF('Input-AF (Avg Insurance) '!$H$18="Monthly",'Input-AF (Avg Insurance) '!$J$18,""))),"")</f>
        <v/>
      </c>
      <c r="L74" s="6">
        <f>IF(B74&lt;=$C$6,(IF(B74&lt;&gt;"",IF(AND('Input-AF (Avg Insurance) '!$H$19="Annual",MOD(B74,12)=0),'Input-AF (Avg Insurance) '!$J$19,IF(AND('Input-AF (Avg Insurance) '!$H$19="1st Installment",B74=1),'Input-AF (Avg Insurance) '!$J$19,IF('Input-AF (Avg Insurance) '!$H$19="Monthly",'Input-AF (Avg Insurance) '!$J$19,""))),""))," ")</f>
        <v>552</v>
      </c>
      <c r="M74" s="6">
        <f>IF(B74&lt;&gt;"",IF(AND('Input-AF (Avg Insurance) '!$H$20="Annual",MOD(B74,12)=0),'Input-AF (Avg Insurance) '!$J$20,IF(AND('Input-AF (Avg Insurance) '!$H$20="1st Installment",B74=1),'Input-AF (Avg Insurance) '!$J$20,IF('Input-AF (Avg Insurance) '!$H$20="Monthly",'Input-AF (Avg Insurance) '!$J$20,IF(AND('Input-AF (Avg Insurance) '!$H$20="End of the loan",B74='Input-AF (Avg Insurance) '!$E$22),'Input-AF (Avg Insurance) '!$J$20,"")))),"")</f>
        <v>0</v>
      </c>
      <c r="N74" s="6">
        <f t="shared" si="13"/>
        <v>552</v>
      </c>
      <c r="O74" s="4">
        <f t="shared" si="1"/>
        <v>5509.4165516832718</v>
      </c>
      <c r="S74" s="9">
        <f t="shared" si="2"/>
        <v>47021</v>
      </c>
      <c r="T74" s="5">
        <f t="shared" si="6"/>
        <v>5509.42</v>
      </c>
      <c r="V74" s="106"/>
    </row>
    <row r="75" spans="1:22" x14ac:dyDescent="0.2">
      <c r="A75" s="1">
        <f t="shared" si="15"/>
        <v>5</v>
      </c>
      <c r="B75" s="16">
        <f t="shared" si="7"/>
        <v>58</v>
      </c>
      <c r="C75" s="9">
        <f t="shared" si="8"/>
        <v>47051</v>
      </c>
      <c r="D75" s="6">
        <f>IFERROR(PPMT('Input-AF (Avg Insurance) '!$E$18/12,B75,$C$6,'Input-AF (Avg Insurance) '!$E$17,-$C$13,0)," ")</f>
        <v>-4679.6504283556296</v>
      </c>
      <c r="E75" s="6">
        <f>IFERROR(IPMT('Input-AF (Avg Insurance) '!$E$18/12,B75,$C$6,'Input-AF (Avg Insurance) '!$E$17,-$C$13,0)," ")</f>
        <v>-277.76612332764245</v>
      </c>
      <c r="F75" s="6">
        <f t="shared" si="9"/>
        <v>-240579.77581428434</v>
      </c>
      <c r="G75" s="6">
        <f t="shared" si="10"/>
        <v>-46950.384183345494</v>
      </c>
      <c r="H75" s="6">
        <f t="shared" si="4"/>
        <v>-4957.4165516832718</v>
      </c>
      <c r="I75" s="6">
        <f t="shared" si="5"/>
        <v>59420.224185715662</v>
      </c>
      <c r="J75" s="6" t="str">
        <f>IF(B75&lt;&gt;"",IF(AND('Input-AF (Avg Insurance) '!$H$17="Annual",MOD(B75,12)=0),'Input-AF (Avg Insurance) '!$J$17,IF(AND('Input-AF (Avg Insurance) '!$H$17="1st Installment",B75=1),'Input-AF (Avg Insurance) '!$J$17,IF('Input-AF (Avg Insurance) '!$H$17="Monthly",'Input-AF (Avg Insurance) '!$J$17,""))),"")</f>
        <v/>
      </c>
      <c r="K75" s="6" t="str">
        <f>IF(B75&lt;&gt;"",IF(AND('Input-AF (Avg Insurance) '!$H$18="Annual",MOD(B75,12)=0),'Input-AF (Avg Insurance) '!$J$18,IF(AND('Input-AF (Avg Insurance) '!$H$18="1st Installment",B75=1),'Input-AF (Avg Insurance) '!$J$18,IF('Input-AF (Avg Insurance) '!$H$18="Monthly",'Input-AF (Avg Insurance) '!$J$18,""))),"")</f>
        <v/>
      </c>
      <c r="L75" s="6">
        <f>IF(B75&lt;=$C$6,(IF(B75&lt;&gt;"",IF(AND('Input-AF (Avg Insurance) '!$H$19="Annual",MOD(B75,12)=0),'Input-AF (Avg Insurance) '!$J$19,IF(AND('Input-AF (Avg Insurance) '!$H$19="1st Installment",B75=1),'Input-AF (Avg Insurance) '!$J$19,IF('Input-AF (Avg Insurance) '!$H$19="Monthly",'Input-AF (Avg Insurance) '!$J$19,""))),""))," ")</f>
        <v>552</v>
      </c>
      <c r="M75" s="6">
        <f>IF(B75&lt;&gt;"",IF(AND('Input-AF (Avg Insurance) '!$H$20="Annual",MOD(B75,12)=0),'Input-AF (Avg Insurance) '!$J$20,IF(AND('Input-AF (Avg Insurance) '!$H$20="1st Installment",B75=1),'Input-AF (Avg Insurance) '!$J$20,IF('Input-AF (Avg Insurance) '!$H$20="Monthly",'Input-AF (Avg Insurance) '!$J$20,IF(AND('Input-AF (Avg Insurance) '!$H$20="End of the loan",B75='Input-AF (Avg Insurance) '!$E$22),'Input-AF (Avg Insurance) '!$J$20,"")))),"")</f>
        <v>0</v>
      </c>
      <c r="N75" s="6">
        <f t="shared" si="13"/>
        <v>552</v>
      </c>
      <c r="O75" s="4">
        <f t="shared" si="1"/>
        <v>5509.4165516832718</v>
      </c>
      <c r="S75" s="9">
        <f t="shared" si="2"/>
        <v>47051</v>
      </c>
      <c r="T75" s="5">
        <f t="shared" si="6"/>
        <v>5509.42</v>
      </c>
      <c r="V75" s="106"/>
    </row>
    <row r="76" spans="1:22" x14ac:dyDescent="0.2">
      <c r="A76" s="1">
        <f t="shared" si="15"/>
        <v>5</v>
      </c>
      <c r="B76" s="16">
        <f t="shared" si="7"/>
        <v>59</v>
      </c>
      <c r="C76" s="9">
        <f t="shared" si="8"/>
        <v>47082</v>
      </c>
      <c r="D76" s="6">
        <f>IFERROR(PPMT('Input-AF (Avg Insurance) '!$E$18/12,B76,$C$6,'Input-AF (Avg Insurance) '!$E$17,-$C$13,0)," ")</f>
        <v>-4699.9289135451709</v>
      </c>
      <c r="E76" s="6">
        <f>IFERROR(IPMT('Input-AF (Avg Insurance) '!$E$18/12,B76,$C$6,'Input-AF (Avg Insurance) '!$E$17,-$C$13,0)," ")</f>
        <v>-257.48763813810137</v>
      </c>
      <c r="F76" s="6">
        <f t="shared" si="9"/>
        <v>-245279.70472782952</v>
      </c>
      <c r="G76" s="6">
        <f t="shared" si="10"/>
        <v>-47207.871821483597</v>
      </c>
      <c r="H76" s="6">
        <f t="shared" si="4"/>
        <v>-4957.4165516832727</v>
      </c>
      <c r="I76" s="6">
        <f t="shared" si="5"/>
        <v>54720.295272170479</v>
      </c>
      <c r="J76" s="6" t="str">
        <f>IF(B76&lt;&gt;"",IF(AND('Input-AF (Avg Insurance) '!$H$17="Annual",MOD(B76,12)=0),'Input-AF (Avg Insurance) '!$J$17,IF(AND('Input-AF (Avg Insurance) '!$H$17="1st Installment",B76=1),'Input-AF (Avg Insurance) '!$J$17,IF('Input-AF (Avg Insurance) '!$H$17="Monthly",'Input-AF (Avg Insurance) '!$J$17,""))),"")</f>
        <v/>
      </c>
      <c r="K76" s="6" t="str">
        <f>IF(B76&lt;&gt;"",IF(AND('Input-AF (Avg Insurance) '!$H$18="Annual",MOD(B76,12)=0),'Input-AF (Avg Insurance) '!$J$18,IF(AND('Input-AF (Avg Insurance) '!$H$18="1st Installment",B76=1),'Input-AF (Avg Insurance) '!$J$18,IF('Input-AF (Avg Insurance) '!$H$18="Monthly",'Input-AF (Avg Insurance) '!$J$18,""))),"")</f>
        <v/>
      </c>
      <c r="L76" s="6">
        <f>IF(B76&lt;=$C$6,(IF(B76&lt;&gt;"",IF(AND('Input-AF (Avg Insurance) '!$H$19="Annual",MOD(B76,12)=0),'Input-AF (Avg Insurance) '!$J$19,IF(AND('Input-AF (Avg Insurance) '!$H$19="1st Installment",B76=1),'Input-AF (Avg Insurance) '!$J$19,IF('Input-AF (Avg Insurance) '!$H$19="Monthly",'Input-AF (Avg Insurance) '!$J$19,""))),""))," ")</f>
        <v>552</v>
      </c>
      <c r="M76" s="6">
        <f>IF(B76&lt;&gt;"",IF(AND('Input-AF (Avg Insurance) '!$H$20="Annual",MOD(B76,12)=0),'Input-AF (Avg Insurance) '!$J$20,IF(AND('Input-AF (Avg Insurance) '!$H$20="1st Installment",B76=1),'Input-AF (Avg Insurance) '!$J$20,IF('Input-AF (Avg Insurance) '!$H$20="Monthly",'Input-AF (Avg Insurance) '!$J$20,IF(AND('Input-AF (Avg Insurance) '!$H$20="End of the loan",B76='Input-AF (Avg Insurance) '!$E$22),'Input-AF (Avg Insurance) '!$J$20,"")))),"")</f>
        <v>0</v>
      </c>
      <c r="N76" s="6">
        <f t="shared" si="13"/>
        <v>552</v>
      </c>
      <c r="O76" s="4">
        <f t="shared" si="1"/>
        <v>5509.4165516832727</v>
      </c>
      <c r="S76" s="9">
        <f t="shared" si="2"/>
        <v>47082</v>
      </c>
      <c r="T76" s="5">
        <f t="shared" si="6"/>
        <v>5509.42</v>
      </c>
      <c r="V76" s="106"/>
    </row>
    <row r="77" spans="1:22" x14ac:dyDescent="0.2">
      <c r="A77" s="1">
        <f t="shared" si="15"/>
        <v>5</v>
      </c>
      <c r="B77" s="16">
        <f t="shared" si="7"/>
        <v>60</v>
      </c>
      <c r="C77" s="9">
        <f t="shared" si="8"/>
        <v>47112</v>
      </c>
      <c r="D77" s="6">
        <f>IFERROR(PPMT('Input-AF (Avg Insurance) '!$E$18/12,B77,$C$6,'Input-AF (Avg Insurance) '!$E$17,-$C$13,0)," ")</f>
        <v>-4720.2952721705324</v>
      </c>
      <c r="E77" s="6">
        <f>IFERROR(IPMT('Input-AF (Avg Insurance) '!$E$18/12,B77,$C$6,'Input-AF (Avg Insurance) '!$E$17,-$C$13,0)," ")</f>
        <v>-237.12127951273894</v>
      </c>
      <c r="F77" s="6">
        <f t="shared" si="9"/>
        <v>-250000.00000000006</v>
      </c>
      <c r="G77" s="6">
        <f t="shared" si="10"/>
        <v>-47444.993100996333</v>
      </c>
      <c r="H77" s="6">
        <f t="shared" si="4"/>
        <v>-54957.416551683273</v>
      </c>
      <c r="I77" s="6">
        <f t="shared" si="5"/>
        <v>49999.999999999942</v>
      </c>
      <c r="J77" s="6" t="str">
        <f>IF(B77&lt;&gt;"",IF(AND('Input-AF (Avg Insurance) '!$H$17="Annual",MOD(B77,12)=0),'Input-AF (Avg Insurance) '!$J$17,IF(AND('Input-AF (Avg Insurance) '!$H$17="1st Installment",B77=1),'Input-AF (Avg Insurance) '!$J$17,IF('Input-AF (Avg Insurance) '!$H$17="Monthly",'Input-AF (Avg Insurance) '!$J$17,""))),"")</f>
        <v/>
      </c>
      <c r="K77" s="6">
        <f>IF(B77&lt;&gt;"",IF(AND('Input-AF (Avg Insurance) '!$H$18="Annual",MOD(B77,12)=0),'Input-AF (Avg Insurance) '!$J$18,IF(AND('Input-AF (Avg Insurance) '!$H$18="1st Installment",B77=1),'Input-AF (Avg Insurance) '!$J$18,IF('Input-AF (Avg Insurance) '!$H$18="Monthly",'Input-AF (Avg Insurance) '!$J$18,""))),"")</f>
        <v>0</v>
      </c>
      <c r="L77" s="6">
        <f>IF(B77&lt;=$C$6,(IF(B77&lt;&gt;"",IF(AND('Input-AF (Avg Insurance) '!$H$19="Annual",MOD(B77,12)=0),'Input-AF (Avg Insurance) '!$J$19,IF(AND('Input-AF (Avg Insurance) '!$H$19="1st Installment",B77=1),'Input-AF (Avg Insurance) '!$J$19,IF('Input-AF (Avg Insurance) '!$H$19="Monthly",'Input-AF (Avg Insurance) '!$J$19,""))),""))," ")</f>
        <v>552</v>
      </c>
      <c r="M77" s="6">
        <f>IF(B77&lt;&gt;"",IF(AND('Input-AF (Avg Insurance) '!$H$20="Annual",MOD(B77,12)=0),'Input-AF (Avg Insurance) '!$J$20,IF(AND('Input-AF (Avg Insurance) '!$H$20="1st Installment",B77=1),'Input-AF (Avg Insurance) '!$J$20,IF('Input-AF (Avg Insurance) '!$H$20="Monthly",'Input-AF (Avg Insurance) '!$J$20,IF(AND('Input-AF (Avg Insurance) '!$H$20="End of the loan",B77='Input-AF (Avg Insurance) '!$E$22),'Input-AF (Avg Insurance) '!$J$20,"")))),"")</f>
        <v>0</v>
      </c>
      <c r="N77" s="6">
        <f t="shared" si="13"/>
        <v>552</v>
      </c>
      <c r="O77" s="4">
        <f t="shared" si="1"/>
        <v>55509.416551683273</v>
      </c>
      <c r="S77" s="9">
        <f t="shared" si="2"/>
        <v>47112</v>
      </c>
      <c r="T77" s="5">
        <f t="shared" si="6"/>
        <v>55509.42</v>
      </c>
      <c r="V77" s="106"/>
    </row>
    <row r="78" spans="1:22" ht="13.2" customHeight="1" x14ac:dyDescent="0.2">
      <c r="B78" s="168"/>
      <c r="C78" s="169"/>
      <c r="D78" s="170"/>
      <c r="E78" s="170"/>
      <c r="F78" s="170"/>
      <c r="G78" s="170"/>
      <c r="H78" s="170"/>
      <c r="I78" s="170"/>
      <c r="J78" s="170"/>
      <c r="K78" s="170"/>
      <c r="L78" s="170"/>
      <c r="M78" s="170"/>
      <c r="N78" s="170"/>
      <c r="O78" s="171"/>
      <c r="P78" s="11"/>
      <c r="Q78" s="11"/>
      <c r="R78" s="11"/>
      <c r="S78" s="169"/>
      <c r="T78" s="172"/>
      <c r="U78" s="173"/>
      <c r="V78" s="106"/>
    </row>
    <row r="79" spans="1:22" x14ac:dyDescent="0.2">
      <c r="B79" s="32"/>
      <c r="C79" s="65"/>
      <c r="D79" s="174"/>
      <c r="E79" s="174"/>
      <c r="F79" s="174"/>
      <c r="G79" s="174"/>
      <c r="H79" s="174"/>
      <c r="I79" s="174"/>
      <c r="J79" s="174"/>
      <c r="K79" s="174"/>
      <c r="L79" s="174"/>
      <c r="M79" s="174"/>
      <c r="N79" s="174"/>
      <c r="O79" s="72"/>
      <c r="P79" s="11"/>
      <c r="Q79" s="11"/>
      <c r="R79" s="11"/>
      <c r="S79" s="65"/>
      <c r="T79" s="175"/>
      <c r="U79" s="173"/>
      <c r="V79" s="106"/>
    </row>
    <row r="80" spans="1:22" x14ac:dyDescent="0.2">
      <c r="B80" s="32"/>
      <c r="C80" s="65"/>
      <c r="D80" s="174"/>
      <c r="E80" s="174"/>
      <c r="F80" s="174"/>
      <c r="G80" s="174"/>
      <c r="H80" s="174"/>
      <c r="I80" s="174"/>
      <c r="J80" s="174"/>
      <c r="K80" s="174"/>
      <c r="L80" s="174"/>
      <c r="M80" s="174"/>
      <c r="N80" s="174"/>
      <c r="O80" s="72"/>
      <c r="P80" s="11"/>
      <c r="Q80" s="11"/>
      <c r="R80" s="11"/>
      <c r="S80" s="65"/>
      <c r="T80" s="175"/>
      <c r="U80" s="173"/>
      <c r="V80" s="106"/>
    </row>
    <row r="81" spans="2:22" x14ac:dyDescent="0.2">
      <c r="B81" s="32"/>
      <c r="C81" s="65"/>
      <c r="D81" s="174"/>
      <c r="E81" s="174"/>
      <c r="F81" s="174"/>
      <c r="G81" s="174"/>
      <c r="H81" s="174"/>
      <c r="I81" s="174"/>
      <c r="J81" s="174"/>
      <c r="K81" s="174"/>
      <c r="L81" s="174"/>
      <c r="M81" s="174"/>
      <c r="N81" s="174"/>
      <c r="O81" s="72"/>
      <c r="P81" s="11"/>
      <c r="Q81" s="11"/>
      <c r="R81" s="11"/>
      <c r="S81" s="65"/>
      <c r="T81" s="175"/>
      <c r="U81" s="173"/>
      <c r="V81" s="106"/>
    </row>
    <row r="82" spans="2:22" x14ac:dyDescent="0.2">
      <c r="B82" s="32"/>
      <c r="C82" s="65"/>
      <c r="D82" s="174"/>
      <c r="E82" s="174"/>
      <c r="F82" s="174"/>
      <c r="G82" s="174"/>
      <c r="H82" s="174"/>
      <c r="I82" s="174"/>
      <c r="J82" s="174"/>
      <c r="K82" s="174"/>
      <c r="L82" s="174"/>
      <c r="M82" s="174"/>
      <c r="N82" s="174"/>
      <c r="O82" s="72"/>
      <c r="P82" s="11"/>
      <c r="Q82" s="11"/>
      <c r="R82" s="11"/>
      <c r="S82" s="65"/>
      <c r="T82" s="175"/>
      <c r="U82" s="173"/>
      <c r="V82" s="106"/>
    </row>
    <row r="83" spans="2:22" x14ac:dyDescent="0.2">
      <c r="B83" s="11"/>
      <c r="C83" s="11"/>
      <c r="D83" s="72"/>
      <c r="E83" s="11"/>
      <c r="F83" s="11"/>
      <c r="G83" s="11"/>
      <c r="H83" s="72"/>
      <c r="I83" s="11"/>
      <c r="J83" s="11"/>
      <c r="K83" s="11"/>
      <c r="L83" s="72"/>
      <c r="M83" s="11"/>
      <c r="N83" s="11"/>
      <c r="O83" s="11"/>
      <c r="P83" s="11"/>
      <c r="Q83" s="11"/>
      <c r="R83" s="11"/>
      <c r="S83" s="11"/>
      <c r="T83" s="11"/>
      <c r="U83" s="173"/>
    </row>
  </sheetData>
  <mergeCells count="4">
    <mergeCell ref="B2:O2"/>
    <mergeCell ref="B4:F4"/>
    <mergeCell ref="H15:I15"/>
    <mergeCell ref="S15:T15"/>
  </mergeCells>
  <pageMargins left="0.7" right="0.7" top="0.75" bottom="0.75" header="0.3" footer="0.3"/>
  <pageSetup orientation="portrait" r:id="rId1"/>
  <headerFooter>
    <oddHeader>&amp;C
&amp;G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S87"/>
  <sheetViews>
    <sheetView showGridLines="0" topLeftCell="B1" zoomScale="85" zoomScaleNormal="85" zoomScalePageLayoutView="89" workbookViewId="0">
      <selection activeCell="B3" sqref="B3:H11"/>
    </sheetView>
  </sheetViews>
  <sheetFormatPr defaultColWidth="0" defaultRowHeight="13.95" customHeight="1" x14ac:dyDescent="0.2"/>
  <cols>
    <col min="1" max="1" width="2.6640625" style="1" customWidth="1"/>
    <col min="2" max="2" width="6.33203125" style="1" customWidth="1"/>
    <col min="3" max="3" width="4.33203125" style="1" customWidth="1"/>
    <col min="4" max="4" width="27.109375" style="1" bestFit="1" customWidth="1"/>
    <col min="5" max="5" width="24.33203125" style="1" customWidth="1"/>
    <col min="6" max="6" width="12.44140625" style="1" customWidth="1"/>
    <col min="7" max="7" width="25.109375" style="1" bestFit="1" customWidth="1"/>
    <col min="8" max="9" width="21.88671875" style="1" customWidth="1"/>
    <col min="10" max="10" width="28.77734375" style="1" bestFit="1" customWidth="1"/>
    <col min="11" max="11" width="17.44140625" style="1" customWidth="1"/>
    <col min="12" max="13" width="18.5546875" style="30" bestFit="1" customWidth="1"/>
    <col min="14" max="14" width="8.33203125" style="1" bestFit="1" customWidth="1"/>
    <col min="15" max="15" width="6.88671875" style="1" bestFit="1" customWidth="1"/>
    <col min="16" max="16" width="4" style="1" customWidth="1"/>
    <col min="17" max="17" width="0" style="1" hidden="1" customWidth="1"/>
    <col min="18" max="16384" width="8.88671875" style="1" hidden="1"/>
  </cols>
  <sheetData>
    <row r="2" spans="2:19" ht="13.95" customHeight="1" x14ac:dyDescent="0.2">
      <c r="B2" s="64" t="s">
        <v>42</v>
      </c>
      <c r="J2" s="64" t="s">
        <v>43</v>
      </c>
      <c r="L2" s="1"/>
    </row>
    <row r="3" spans="2:19" ht="18" customHeight="1" x14ac:dyDescent="0.2">
      <c r="B3" s="195" t="s">
        <v>137</v>
      </c>
      <c r="C3" s="195"/>
      <c r="D3" s="195"/>
      <c r="E3" s="195"/>
      <c r="F3" s="195"/>
      <c r="G3" s="195"/>
      <c r="H3" s="195"/>
      <c r="J3" s="53"/>
      <c r="K3" s="185" t="s">
        <v>44</v>
      </c>
      <c r="L3" s="185"/>
      <c r="M3" s="185"/>
      <c r="N3" s="185"/>
    </row>
    <row r="4" spans="2:19" ht="18" customHeight="1" x14ac:dyDescent="0.2">
      <c r="B4" s="195"/>
      <c r="C4" s="195"/>
      <c r="D4" s="195"/>
      <c r="E4" s="195"/>
      <c r="F4" s="195"/>
      <c r="G4" s="195"/>
      <c r="H4" s="195"/>
      <c r="J4" s="54"/>
      <c r="K4" s="185" t="s">
        <v>50</v>
      </c>
      <c r="L4" s="185"/>
      <c r="M4" s="185"/>
      <c r="N4" s="185"/>
    </row>
    <row r="5" spans="2:19" ht="18" customHeight="1" x14ac:dyDescent="0.2">
      <c r="B5" s="195"/>
      <c r="C5" s="195"/>
      <c r="D5" s="195"/>
      <c r="E5" s="195"/>
      <c r="F5" s="195"/>
      <c r="G5" s="195"/>
      <c r="H5" s="195"/>
      <c r="J5" s="3"/>
      <c r="K5" s="185" t="s">
        <v>51</v>
      </c>
      <c r="L5" s="185"/>
      <c r="M5" s="185"/>
      <c r="N5" s="185"/>
    </row>
    <row r="6" spans="2:19" ht="18" customHeight="1" x14ac:dyDescent="0.2">
      <c r="B6" s="195"/>
      <c r="C6" s="195"/>
      <c r="D6" s="195"/>
      <c r="E6" s="195"/>
      <c r="F6" s="195"/>
      <c r="G6" s="195"/>
      <c r="H6" s="195"/>
      <c r="J6" s="55"/>
      <c r="K6" s="185" t="s">
        <v>45</v>
      </c>
      <c r="L6" s="185"/>
      <c r="M6" s="185"/>
      <c r="N6" s="185"/>
      <c r="Q6" s="50"/>
      <c r="R6" s="50"/>
      <c r="S6" s="50"/>
    </row>
    <row r="7" spans="2:19" ht="18" customHeight="1" x14ac:dyDescent="0.2">
      <c r="B7" s="195"/>
      <c r="C7" s="195"/>
      <c r="D7" s="195"/>
      <c r="E7" s="195"/>
      <c r="F7" s="195"/>
      <c r="G7" s="195"/>
      <c r="H7" s="195"/>
      <c r="J7" s="56"/>
      <c r="K7" s="185" t="s">
        <v>46</v>
      </c>
      <c r="L7" s="185"/>
      <c r="M7" s="185"/>
      <c r="N7" s="185"/>
    </row>
    <row r="8" spans="2:19" ht="18" customHeight="1" x14ac:dyDescent="0.2">
      <c r="B8" s="195"/>
      <c r="C8" s="195"/>
      <c r="D8" s="195"/>
      <c r="E8" s="195"/>
      <c r="F8" s="195"/>
      <c r="G8" s="195"/>
      <c r="H8" s="195"/>
      <c r="J8" s="57"/>
      <c r="K8" s="185" t="s">
        <v>47</v>
      </c>
      <c r="L8" s="185"/>
      <c r="M8" s="185"/>
      <c r="N8" s="185"/>
    </row>
    <row r="9" spans="2:19" ht="18" customHeight="1" x14ac:dyDescent="0.2">
      <c r="B9" s="195"/>
      <c r="C9" s="195"/>
      <c r="D9" s="195"/>
      <c r="E9" s="195"/>
      <c r="F9" s="195"/>
      <c r="G9" s="195"/>
      <c r="H9" s="195"/>
      <c r="J9" s="63"/>
      <c r="K9" s="185" t="s">
        <v>49</v>
      </c>
      <c r="L9" s="185"/>
      <c r="M9" s="185"/>
      <c r="N9" s="185"/>
    </row>
    <row r="10" spans="2:19" ht="18" customHeight="1" x14ac:dyDescent="0.2">
      <c r="B10" s="195"/>
      <c r="C10" s="195"/>
      <c r="D10" s="195"/>
      <c r="E10" s="195"/>
      <c r="F10" s="195"/>
      <c r="G10" s="195"/>
      <c r="H10" s="195"/>
      <c r="J10" s="58"/>
      <c r="K10" s="185" t="s">
        <v>106</v>
      </c>
      <c r="L10" s="185"/>
      <c r="M10" s="185"/>
      <c r="N10" s="185"/>
    </row>
    <row r="11" spans="2:19" ht="18" customHeight="1" x14ac:dyDescent="0.2">
      <c r="B11" s="195"/>
      <c r="C11" s="195"/>
      <c r="D11" s="195"/>
      <c r="E11" s="195"/>
      <c r="F11" s="195"/>
      <c r="G11" s="195"/>
      <c r="H11" s="195"/>
      <c r="L11" s="1"/>
    </row>
    <row r="12" spans="2:19" ht="13.95" customHeight="1" thickBot="1" x14ac:dyDescent="0.25"/>
    <row r="13" spans="2:19" ht="13.95" customHeight="1" x14ac:dyDescent="0.2">
      <c r="B13" s="18"/>
      <c r="C13" s="19"/>
      <c r="D13" s="19"/>
      <c r="E13" s="19"/>
      <c r="F13" s="19"/>
      <c r="G13" s="19"/>
      <c r="H13" s="19"/>
      <c r="I13" s="19"/>
      <c r="J13" s="19"/>
      <c r="K13" s="19"/>
      <c r="L13" s="31"/>
      <c r="M13" s="31"/>
      <c r="N13" s="20"/>
    </row>
    <row r="14" spans="2:19" ht="13.95" customHeight="1" x14ac:dyDescent="0.2">
      <c r="B14" s="21"/>
      <c r="C14" s="189" t="s">
        <v>18</v>
      </c>
      <c r="D14" s="189"/>
      <c r="E14" s="189"/>
      <c r="F14" s="189"/>
      <c r="G14" s="189"/>
      <c r="H14" s="189"/>
      <c r="I14" s="189"/>
      <c r="J14" s="189"/>
      <c r="K14" s="189"/>
      <c r="L14" s="189"/>
      <c r="M14" s="189"/>
      <c r="N14" s="22"/>
    </row>
    <row r="15" spans="2:19" ht="13.95" customHeight="1" x14ac:dyDescent="0.2">
      <c r="B15" s="21"/>
      <c r="C15" s="11"/>
      <c r="D15" s="11"/>
      <c r="E15" s="11"/>
      <c r="F15" s="11"/>
      <c r="G15" s="11"/>
      <c r="H15" s="11"/>
      <c r="I15" s="11"/>
      <c r="J15" s="11"/>
      <c r="K15" s="11"/>
      <c r="L15" s="32"/>
      <c r="M15" s="32"/>
      <c r="N15" s="22"/>
    </row>
    <row r="16" spans="2:19" ht="39.6" customHeight="1" x14ac:dyDescent="0.2">
      <c r="B16" s="21"/>
      <c r="C16" s="11"/>
      <c r="D16" s="190" t="s">
        <v>0</v>
      </c>
      <c r="E16" s="191"/>
      <c r="F16" s="27"/>
      <c r="G16" s="28" t="s">
        <v>26</v>
      </c>
      <c r="H16" s="28" t="s">
        <v>13</v>
      </c>
      <c r="I16" s="29" t="s">
        <v>25</v>
      </c>
      <c r="J16" s="29" t="s">
        <v>99</v>
      </c>
      <c r="K16" s="11"/>
      <c r="L16" s="28" t="s">
        <v>7</v>
      </c>
      <c r="N16" s="22"/>
    </row>
    <row r="17" spans="2:14" ht="13.95" customHeight="1" x14ac:dyDescent="0.2">
      <c r="B17" s="21"/>
      <c r="C17" s="11"/>
      <c r="D17" s="10" t="s">
        <v>127</v>
      </c>
      <c r="E17" s="69">
        <v>20000</v>
      </c>
      <c r="F17" s="11"/>
      <c r="G17" s="10" t="s">
        <v>32</v>
      </c>
      <c r="H17" s="63" t="s">
        <v>67</v>
      </c>
      <c r="I17" s="81">
        <v>1000</v>
      </c>
      <c r="J17" s="80">
        <f>IF(H17="Annual",I17/($E$22/12),IF(H17="Monthly",I17/$E$22,I17))</f>
        <v>1000</v>
      </c>
      <c r="K17" s="11"/>
      <c r="L17" s="59">
        <f ca="1">IFERROR('Personal Finance'!F6,"")</f>
        <v>5.426354706287384E-2</v>
      </c>
      <c r="N17" s="22"/>
    </row>
    <row r="18" spans="2:14" ht="13.95" customHeight="1" x14ac:dyDescent="0.2">
      <c r="B18" s="21"/>
      <c r="C18" s="11"/>
      <c r="D18" s="10" t="s">
        <v>117</v>
      </c>
      <c r="E18" s="51">
        <v>3.2000000000000001E-2</v>
      </c>
      <c r="F18" s="11"/>
      <c r="G18" s="10" t="s">
        <v>33</v>
      </c>
      <c r="H18" s="63" t="s">
        <v>69</v>
      </c>
      <c r="I18" s="67"/>
      <c r="J18" s="80">
        <f t="shared" ref="J18:J19" si="0">IF(H18="Annual",I18/($E$22/12),IF(H18="Monthly",I18/$E$22,I18))</f>
        <v>0</v>
      </c>
      <c r="K18" s="11"/>
      <c r="N18" s="22"/>
    </row>
    <row r="19" spans="2:14" ht="13.95" customHeight="1" x14ac:dyDescent="0.2">
      <c r="B19" s="21"/>
      <c r="C19" s="11"/>
      <c r="D19" s="66"/>
      <c r="E19" s="11"/>
      <c r="F19" s="11"/>
      <c r="G19" s="10" t="s">
        <v>53</v>
      </c>
      <c r="H19" s="63" t="s">
        <v>68</v>
      </c>
      <c r="I19" s="67"/>
      <c r="J19" s="80">
        <f t="shared" si="0"/>
        <v>0</v>
      </c>
      <c r="K19" s="11"/>
      <c r="L19" s="108"/>
      <c r="N19" s="22"/>
    </row>
    <row r="20" spans="2:14" ht="13.95" customHeight="1" x14ac:dyDescent="0.2">
      <c r="B20" s="21"/>
      <c r="C20" s="11"/>
      <c r="D20" s="11"/>
      <c r="E20" s="11"/>
      <c r="F20" s="11"/>
      <c r="G20" s="186" t="s">
        <v>23</v>
      </c>
      <c r="H20" s="187"/>
      <c r="I20" s="95">
        <f>SUM(I17:I19)</f>
        <v>1000</v>
      </c>
      <c r="J20" s="80"/>
      <c r="K20" s="11"/>
      <c r="L20" s="109"/>
      <c r="M20" s="32"/>
      <c r="N20" s="22"/>
    </row>
    <row r="21" spans="2:14" ht="13.95" customHeight="1" x14ac:dyDescent="0.2">
      <c r="B21" s="21"/>
      <c r="C21" s="11"/>
      <c r="D21" s="193" t="s">
        <v>1</v>
      </c>
      <c r="E21" s="194"/>
      <c r="F21" s="11"/>
      <c r="K21" s="11"/>
      <c r="L21" s="32"/>
      <c r="M21" s="32"/>
      <c r="N21" s="22"/>
    </row>
    <row r="22" spans="2:14" ht="13.95" customHeight="1" x14ac:dyDescent="0.2">
      <c r="B22" s="21"/>
      <c r="C22" s="11"/>
      <c r="D22" s="61" t="s">
        <v>17</v>
      </c>
      <c r="E22" s="52">
        <v>60</v>
      </c>
      <c r="F22" s="11"/>
      <c r="G22" s="11"/>
      <c r="H22" s="11"/>
      <c r="I22" s="72"/>
      <c r="J22" s="11"/>
      <c r="K22" s="11"/>
      <c r="L22" s="32"/>
      <c r="M22" s="32"/>
      <c r="N22" s="22"/>
    </row>
    <row r="23" spans="2:14" ht="13.95" customHeight="1" x14ac:dyDescent="0.2">
      <c r="B23" s="21"/>
      <c r="C23" s="11"/>
      <c r="D23" s="61" t="s">
        <v>129</v>
      </c>
      <c r="E23" s="62">
        <v>45292</v>
      </c>
      <c r="F23" s="11"/>
      <c r="G23" s="11"/>
      <c r="H23" s="11"/>
      <c r="I23" s="72"/>
      <c r="J23" s="11"/>
      <c r="K23" s="11"/>
      <c r="L23" s="32"/>
      <c r="M23" s="32"/>
      <c r="N23" s="22"/>
    </row>
    <row r="24" spans="2:14" ht="13.95" customHeight="1" x14ac:dyDescent="0.2">
      <c r="B24" s="21"/>
      <c r="C24" s="11"/>
      <c r="D24" s="61" t="s">
        <v>36</v>
      </c>
      <c r="E24" s="158">
        <f>IF((ABS(DATEDIF(E23,Input!E25,"m"))+E22)&lt;=ABS(60),(ABS(DATEDIF(E23,Input!E25,"m"))),"Exceeded maximum loan period")</f>
        <v>0</v>
      </c>
      <c r="F24" s="11"/>
      <c r="G24" s="11"/>
      <c r="H24" s="11"/>
      <c r="I24" s="11"/>
      <c r="J24" s="11"/>
      <c r="K24" s="11"/>
      <c r="L24" s="32"/>
      <c r="M24" s="32"/>
      <c r="N24" s="22"/>
    </row>
    <row r="25" spans="2:14" ht="13.95" customHeight="1" x14ac:dyDescent="0.2">
      <c r="B25" s="21"/>
      <c r="C25" s="11"/>
      <c r="D25" s="61" t="s">
        <v>37</v>
      </c>
      <c r="E25" s="62">
        <v>45321</v>
      </c>
      <c r="F25" s="65"/>
      <c r="G25" s="11"/>
      <c r="H25" s="11"/>
      <c r="I25" s="11"/>
      <c r="J25" s="11"/>
      <c r="K25" s="11"/>
      <c r="L25" s="79"/>
      <c r="M25" s="32"/>
      <c r="N25" s="22"/>
    </row>
    <row r="26" spans="2:14" ht="13.95" customHeight="1" x14ac:dyDescent="0.2">
      <c r="B26" s="21"/>
      <c r="C26" s="11"/>
      <c r="D26" s="65"/>
      <c r="E26" s="65"/>
      <c r="F26" s="65"/>
      <c r="G26" s="11"/>
      <c r="H26" s="11"/>
      <c r="I26" s="11"/>
      <c r="J26" s="11"/>
      <c r="K26" s="11"/>
      <c r="L26" s="32"/>
      <c r="M26" s="32"/>
      <c r="N26" s="22"/>
    </row>
    <row r="27" spans="2:14" ht="13.95" customHeight="1" thickBot="1" x14ac:dyDescent="0.25">
      <c r="B27" s="23"/>
      <c r="C27" s="24"/>
      <c r="D27" s="24"/>
      <c r="E27" s="24"/>
      <c r="F27" s="24"/>
      <c r="G27" s="25"/>
      <c r="H27" s="25"/>
      <c r="I27" s="25"/>
      <c r="J27" s="25"/>
      <c r="K27" s="24"/>
      <c r="L27" s="33"/>
      <c r="M27" s="33"/>
      <c r="N27" s="26"/>
    </row>
    <row r="28" spans="2:14" ht="7.95" customHeight="1" x14ac:dyDescent="0.2"/>
    <row r="29" spans="2:14" ht="7.95" customHeight="1" thickBot="1" x14ac:dyDescent="0.25"/>
    <row r="30" spans="2:14" ht="13.95" customHeight="1" x14ac:dyDescent="0.2">
      <c r="B30" s="18"/>
      <c r="C30" s="19"/>
      <c r="D30" s="19"/>
      <c r="E30" s="19"/>
      <c r="F30" s="19"/>
      <c r="G30" s="19"/>
      <c r="H30" s="19"/>
      <c r="I30" s="19"/>
      <c r="J30" s="19"/>
      <c r="K30" s="19"/>
      <c r="L30" s="31"/>
      <c r="M30" s="31"/>
      <c r="N30" s="20"/>
    </row>
    <row r="31" spans="2:14" ht="13.8" customHeight="1" x14ac:dyDescent="0.2">
      <c r="B31" s="21"/>
      <c r="C31" s="189" t="s">
        <v>20</v>
      </c>
      <c r="D31" s="189"/>
      <c r="E31" s="189"/>
      <c r="F31" s="189"/>
      <c r="G31" s="189"/>
      <c r="H31" s="189"/>
      <c r="I31" s="189"/>
      <c r="J31" s="189"/>
      <c r="K31" s="189"/>
      <c r="L31" s="189"/>
      <c r="M31" s="189"/>
      <c r="N31" s="22"/>
    </row>
    <row r="32" spans="2:14" ht="13.95" customHeight="1" x14ac:dyDescent="0.2">
      <c r="B32" s="21"/>
      <c r="C32" s="11"/>
      <c r="D32" s="11"/>
      <c r="E32" s="11"/>
      <c r="F32" s="11"/>
      <c r="G32" s="11"/>
      <c r="H32" s="11"/>
      <c r="I32" s="11"/>
      <c r="J32" s="11"/>
      <c r="K32" s="11"/>
      <c r="L32" s="32"/>
      <c r="M32" s="32"/>
      <c r="N32" s="22"/>
    </row>
    <row r="33" spans="2:15" ht="40.200000000000003" customHeight="1" x14ac:dyDescent="0.2">
      <c r="B33" s="21"/>
      <c r="C33" s="11"/>
      <c r="D33" s="190" t="s">
        <v>0</v>
      </c>
      <c r="E33" s="191"/>
      <c r="F33" s="27"/>
      <c r="G33" s="28" t="s">
        <v>84</v>
      </c>
      <c r="H33" s="28" t="s">
        <v>13</v>
      </c>
      <c r="I33" s="29" t="s">
        <v>25</v>
      </c>
      <c r="J33" s="29" t="s">
        <v>99</v>
      </c>
      <c r="K33" s="27"/>
      <c r="L33" s="28" t="s">
        <v>7</v>
      </c>
      <c r="N33" s="22"/>
    </row>
    <row r="34" spans="2:15" ht="13.95" customHeight="1" x14ac:dyDescent="0.2">
      <c r="B34" s="21"/>
      <c r="C34" s="11"/>
      <c r="D34" s="10" t="s">
        <v>127</v>
      </c>
      <c r="E34" s="69">
        <v>300000</v>
      </c>
      <c r="F34" s="11"/>
      <c r="G34" s="10" t="s">
        <v>32</v>
      </c>
      <c r="H34" s="63" t="s">
        <v>66</v>
      </c>
      <c r="I34" s="69">
        <v>3000</v>
      </c>
      <c r="J34" s="80">
        <f>IF(H34="Annual",I34/($E$39/12),IF(H34="Monthly",I34/$E$39,I34))</f>
        <v>3000</v>
      </c>
      <c r="K34" s="11"/>
      <c r="L34" s="59">
        <f ca="1">IFERROR('Auto Finance'!F6,"")</f>
        <v>0.10527102351188661</v>
      </c>
      <c r="N34" s="22"/>
    </row>
    <row r="35" spans="2:15" ht="13.95" customHeight="1" x14ac:dyDescent="0.2">
      <c r="B35" s="21"/>
      <c r="C35" s="11"/>
      <c r="D35" s="10" t="s">
        <v>117</v>
      </c>
      <c r="E35" s="51">
        <v>5.1999999999999998E-2</v>
      </c>
      <c r="F35" s="11"/>
      <c r="G35" s="10" t="s">
        <v>33</v>
      </c>
      <c r="H35" s="63" t="s">
        <v>69</v>
      </c>
      <c r="I35" s="69"/>
      <c r="J35" s="80">
        <f>IF(H35="Annual",I35/($E$39/12),IF(H35="Monthly",I35/$E$39,I35))</f>
        <v>0</v>
      </c>
      <c r="K35" s="11"/>
      <c r="N35" s="22"/>
    </row>
    <row r="36" spans="2:15" ht="13.95" customHeight="1" x14ac:dyDescent="0.2">
      <c r="B36" s="21"/>
      <c r="C36" s="11"/>
      <c r="D36" s="11"/>
      <c r="E36" s="11"/>
      <c r="F36" s="11"/>
      <c r="G36" s="10" t="s">
        <v>34</v>
      </c>
      <c r="H36" s="63" t="s">
        <v>68</v>
      </c>
      <c r="I36" s="69">
        <f>SUM(J42:J46)</f>
        <v>33120</v>
      </c>
      <c r="J36" s="80" t="str">
        <f>IF(H36="Upfront Payment",I36,(IF(H36="1st Installment", I36, "As per the below Charges/frequency")))</f>
        <v>As per the below Charges/frequency</v>
      </c>
      <c r="K36" s="11"/>
      <c r="L36" s="108"/>
      <c r="M36" s="32"/>
      <c r="N36" s="22"/>
    </row>
    <row r="37" spans="2:15" ht="13.95" customHeight="1" x14ac:dyDescent="0.2">
      <c r="B37" s="21"/>
      <c r="C37" s="11"/>
      <c r="D37" s="11"/>
      <c r="E37" s="11"/>
      <c r="F37" s="11"/>
      <c r="G37" s="10" t="s">
        <v>53</v>
      </c>
      <c r="H37" s="63" t="s">
        <v>68</v>
      </c>
      <c r="I37" s="69"/>
      <c r="J37" s="80">
        <f>IF(H37="Annual",I37/($E$39/12),IF(H37="Monthly",I37/$E$39,I37))</f>
        <v>0</v>
      </c>
      <c r="K37" s="11"/>
      <c r="L37" s="109"/>
      <c r="M37" s="32"/>
      <c r="N37" s="22"/>
    </row>
    <row r="38" spans="2:15" ht="13.95" customHeight="1" x14ac:dyDescent="0.2">
      <c r="B38" s="21"/>
      <c r="C38" s="11"/>
      <c r="D38" s="188" t="s">
        <v>1</v>
      </c>
      <c r="E38" s="188"/>
      <c r="F38" s="11"/>
      <c r="G38" s="186" t="s">
        <v>23</v>
      </c>
      <c r="H38" s="187"/>
      <c r="I38" s="95">
        <f>SUM(I34:I37)</f>
        <v>36120</v>
      </c>
      <c r="J38" s="142"/>
      <c r="L38" s="32"/>
      <c r="M38" s="32"/>
      <c r="N38" s="22"/>
    </row>
    <row r="39" spans="2:15" ht="13.95" customHeight="1" x14ac:dyDescent="0.2">
      <c r="B39" s="21"/>
      <c r="C39" s="11"/>
      <c r="D39" s="61" t="s">
        <v>17</v>
      </c>
      <c r="E39" s="52">
        <v>45</v>
      </c>
      <c r="F39" s="11"/>
      <c r="K39" s="11"/>
      <c r="L39" s="32"/>
      <c r="M39" s="124"/>
      <c r="N39" s="22"/>
    </row>
    <row r="40" spans="2:15" ht="13.95" customHeight="1" x14ac:dyDescent="0.2">
      <c r="B40" s="21"/>
      <c r="C40" s="11"/>
      <c r="D40" s="61" t="s">
        <v>129</v>
      </c>
      <c r="E40" s="62">
        <v>45292</v>
      </c>
      <c r="F40" s="11"/>
      <c r="G40" s="28" t="s">
        <v>61</v>
      </c>
      <c r="H40" s="69">
        <v>320000</v>
      </c>
      <c r="J40" s="78"/>
      <c r="K40" s="32"/>
      <c r="L40" s="32"/>
      <c r="M40" s="77"/>
      <c r="N40" s="22"/>
    </row>
    <row r="41" spans="2:15" s="100" customFormat="1" ht="30.6" customHeight="1" x14ac:dyDescent="0.2">
      <c r="B41" s="101"/>
      <c r="C41" s="102"/>
      <c r="D41" s="61" t="s">
        <v>36</v>
      </c>
      <c r="E41" s="158">
        <f>IF((ABS(DATEDIF(E40,E42,"m"))+E39)&lt;=ABS(60),(ABS(DATEDIF(E40,E42,"m"))),"Exceeded maximum loan period")</f>
        <v>0</v>
      </c>
      <c r="F41" s="102"/>
      <c r="G41" s="29" t="s">
        <v>59</v>
      </c>
      <c r="H41" s="29" t="s">
        <v>60</v>
      </c>
      <c r="I41" s="29" t="s">
        <v>76</v>
      </c>
      <c r="J41" s="29" t="s">
        <v>62</v>
      </c>
      <c r="K41" s="29" t="s">
        <v>63</v>
      </c>
      <c r="L41" s="29" t="s">
        <v>24</v>
      </c>
      <c r="M41" s="123"/>
      <c r="N41" s="103"/>
    </row>
    <row r="42" spans="2:15" ht="13.95" customHeight="1" x14ac:dyDescent="0.2">
      <c r="B42" s="21"/>
      <c r="C42" s="11"/>
      <c r="D42" s="61" t="s">
        <v>37</v>
      </c>
      <c r="E42" s="62">
        <v>45321</v>
      </c>
      <c r="F42" s="11"/>
      <c r="G42" s="157">
        <v>1</v>
      </c>
      <c r="H42" s="51">
        <v>0.03</v>
      </c>
      <c r="I42" s="154">
        <v>0.2</v>
      </c>
      <c r="J42" s="58">
        <f>IF(G42&lt;&gt;"",H40*H42*1.15,0)</f>
        <v>11040</v>
      </c>
      <c r="K42" s="58" t="str">
        <f>IFERROR(IF($H$36="Annual",12*G42,IF($H$36="1st Installment",1,"")),"")</f>
        <v/>
      </c>
      <c r="L42" s="58">
        <f>IF(I42="","",IF($H$36="Monthly",J42/12,J42))</f>
        <v>920</v>
      </c>
      <c r="M42" s="120"/>
      <c r="N42" s="121"/>
      <c r="O42" s="99"/>
    </row>
    <row r="43" spans="2:15" ht="13.95" customHeight="1" x14ac:dyDescent="0.2">
      <c r="B43" s="21"/>
      <c r="C43" s="11"/>
      <c r="D43" s="11"/>
      <c r="E43" s="11"/>
      <c r="F43" s="11"/>
      <c r="G43" s="157">
        <v>2</v>
      </c>
      <c r="H43" s="51">
        <v>0.03</v>
      </c>
      <c r="I43" s="154">
        <v>0.2</v>
      </c>
      <c r="J43" s="58">
        <f>IF(G43&lt;&gt;"",($H$40-($H$40*I42)*G42)*H43*1.15,0)</f>
        <v>8832</v>
      </c>
      <c r="K43" s="58" t="str">
        <f>IFERROR(IF($H$36="Annual",12*G43,""),"")</f>
        <v/>
      </c>
      <c r="L43" s="58">
        <f>IF(G43="","",IF($H$36="Monthly",J43/12,J43))</f>
        <v>736</v>
      </c>
      <c r="M43" s="120"/>
      <c r="N43" s="121"/>
      <c r="O43" s="99"/>
    </row>
    <row r="44" spans="2:15" ht="13.95" customHeight="1" x14ac:dyDescent="0.2">
      <c r="B44" s="21"/>
      <c r="C44" s="11"/>
      <c r="D44" s="11"/>
      <c r="E44" s="11"/>
      <c r="F44" s="11"/>
      <c r="G44" s="157">
        <v>3</v>
      </c>
      <c r="H44" s="51">
        <v>0.03</v>
      </c>
      <c r="I44" s="154">
        <v>0.2</v>
      </c>
      <c r="J44" s="58">
        <f t="shared" ref="J44:J46" si="1">IF(G44&lt;&gt;"",($H$40-($H$40*I43)*G43)*H44*1.15,0)</f>
        <v>6623.9999999999991</v>
      </c>
      <c r="K44" s="58" t="str">
        <f>IFERROR(IF($H$36="Annual",12*G44,""),"")</f>
        <v/>
      </c>
      <c r="L44" s="58">
        <f>IF(G44="","",IF($H$36="Monthly",J44/12,J44))</f>
        <v>551.99999999999989</v>
      </c>
      <c r="M44" s="120"/>
      <c r="N44" s="121"/>
      <c r="O44" s="99"/>
    </row>
    <row r="45" spans="2:15" ht="13.95" customHeight="1" x14ac:dyDescent="0.2">
      <c r="B45" s="21"/>
      <c r="C45" s="11"/>
      <c r="D45" s="188" t="s">
        <v>9</v>
      </c>
      <c r="E45" s="188"/>
      <c r="F45" s="11"/>
      <c r="G45" s="157">
        <v>4</v>
      </c>
      <c r="H45" s="51">
        <v>0.03</v>
      </c>
      <c r="I45" s="154">
        <v>0.2</v>
      </c>
      <c r="J45" s="58">
        <f t="shared" si="1"/>
        <v>4416</v>
      </c>
      <c r="K45" s="58" t="str">
        <f>IFERROR(IF($H$36="Annual",12*G45,""),"")</f>
        <v/>
      </c>
      <c r="L45" s="58">
        <f>IF(G45="","",IF($H$36="Monthly",J45/12,J45))</f>
        <v>368</v>
      </c>
      <c r="M45" s="120"/>
      <c r="N45" s="121"/>
      <c r="O45" s="99"/>
    </row>
    <row r="46" spans="2:15" ht="13.95" customHeight="1" x14ac:dyDescent="0.2">
      <c r="B46" s="21"/>
      <c r="C46" s="11"/>
      <c r="D46" s="61" t="s">
        <v>12</v>
      </c>
      <c r="E46" s="69">
        <v>50000</v>
      </c>
      <c r="F46" s="11"/>
      <c r="G46" s="157">
        <v>5</v>
      </c>
      <c r="H46" s="51">
        <v>0.03</v>
      </c>
      <c r="I46" s="154">
        <v>0.2</v>
      </c>
      <c r="J46" s="58">
        <f t="shared" si="1"/>
        <v>2208</v>
      </c>
      <c r="K46" s="58" t="str">
        <f>IFERROR(IF($H$36="Annual",12*G46,""),"")</f>
        <v/>
      </c>
      <c r="L46" s="58">
        <f>IF(G46="","",IF($H$36="Monthly",J46/12,J46))</f>
        <v>184</v>
      </c>
      <c r="M46" s="120"/>
      <c r="N46" s="121"/>
      <c r="O46" s="99"/>
    </row>
    <row r="47" spans="2:15" ht="13.95" customHeight="1" thickBot="1" x14ac:dyDescent="0.25">
      <c r="B47" s="23"/>
      <c r="C47" s="24"/>
      <c r="D47" s="24"/>
      <c r="E47" s="60"/>
      <c r="F47" s="24"/>
      <c r="G47" s="24"/>
      <c r="H47" s="24"/>
      <c r="I47" s="24"/>
      <c r="J47" s="24"/>
      <c r="K47" s="24"/>
      <c r="L47" s="33"/>
      <c r="M47" s="33"/>
      <c r="N47" s="26"/>
    </row>
    <row r="49" spans="2:14" ht="13.95" customHeight="1" thickBot="1" x14ac:dyDescent="0.25"/>
    <row r="50" spans="2:14" ht="13.95" customHeight="1" x14ac:dyDescent="0.2">
      <c r="B50" s="18"/>
      <c r="C50" s="19"/>
      <c r="D50" s="19"/>
      <c r="E50" s="19"/>
      <c r="F50" s="19"/>
      <c r="G50" s="19"/>
      <c r="H50" s="19"/>
      <c r="I50" s="19"/>
      <c r="J50" s="19"/>
      <c r="K50" s="19"/>
      <c r="L50" s="31"/>
      <c r="M50" s="31"/>
      <c r="N50" s="20"/>
    </row>
    <row r="51" spans="2:14" ht="13.95" customHeight="1" x14ac:dyDescent="0.2">
      <c r="B51" s="21"/>
      <c r="C51" s="189" t="s">
        <v>57</v>
      </c>
      <c r="D51" s="189"/>
      <c r="E51" s="189"/>
      <c r="F51" s="189"/>
      <c r="G51" s="189"/>
      <c r="H51" s="189"/>
      <c r="I51" s="189"/>
      <c r="J51" s="189"/>
      <c r="K51" s="189"/>
      <c r="L51" s="189"/>
      <c r="M51" s="189"/>
      <c r="N51" s="22"/>
    </row>
    <row r="52" spans="2:14" ht="13.95" customHeight="1" x14ac:dyDescent="0.2">
      <c r="B52" s="21"/>
      <c r="C52" s="11"/>
      <c r="D52" s="11"/>
      <c r="E52" s="11"/>
      <c r="F52" s="11"/>
      <c r="G52" s="11"/>
      <c r="H52" s="11"/>
      <c r="I52" s="11"/>
      <c r="J52" s="11"/>
      <c r="K52" s="11"/>
      <c r="L52" s="32"/>
      <c r="M52" s="32"/>
      <c r="N52" s="22"/>
    </row>
    <row r="53" spans="2:14" ht="39.6" customHeight="1" x14ac:dyDescent="0.2">
      <c r="B53" s="21"/>
      <c r="C53" s="11"/>
      <c r="D53" s="190" t="s">
        <v>0</v>
      </c>
      <c r="E53" s="191"/>
      <c r="F53" s="27"/>
      <c r="G53" s="28" t="s">
        <v>84</v>
      </c>
      <c r="H53" s="28" t="s">
        <v>13</v>
      </c>
      <c r="I53" s="29" t="s">
        <v>25</v>
      </c>
      <c r="J53" s="29" t="s">
        <v>99</v>
      </c>
      <c r="K53" s="27"/>
      <c r="L53" s="28" t="s">
        <v>7</v>
      </c>
      <c r="N53" s="22"/>
    </row>
    <row r="54" spans="2:14" ht="13.95" customHeight="1" x14ac:dyDescent="0.2">
      <c r="B54" s="21"/>
      <c r="C54" s="11"/>
      <c r="D54" s="61" t="s">
        <v>127</v>
      </c>
      <c r="E54" s="69">
        <v>1600000</v>
      </c>
      <c r="F54" s="11"/>
      <c r="G54" s="10" t="s">
        <v>32</v>
      </c>
      <c r="H54" s="63" t="s">
        <v>66</v>
      </c>
      <c r="I54" s="69">
        <v>2000</v>
      </c>
      <c r="J54" s="82">
        <f>IF(H54="Annual",I54/($E$58/12),IF(H54="Monthly",I54/$E$58,I54))</f>
        <v>2000</v>
      </c>
      <c r="K54" s="11"/>
      <c r="L54" s="155">
        <f ca="1">IFERROR('Real Estate Finance'!F6,"")</f>
        <v>5.899536311626434E-2</v>
      </c>
      <c r="M54" s="83"/>
      <c r="N54" s="22"/>
    </row>
    <row r="55" spans="2:14" ht="13.95" customHeight="1" x14ac:dyDescent="0.2">
      <c r="B55" s="21"/>
      <c r="C55" s="11"/>
      <c r="D55" s="61" t="s">
        <v>117</v>
      </c>
      <c r="E55" s="51">
        <v>5.5E-2</v>
      </c>
      <c r="F55" s="11"/>
      <c r="G55" s="10" t="s">
        <v>33</v>
      </c>
      <c r="H55" s="63" t="s">
        <v>69</v>
      </c>
      <c r="I55" s="69"/>
      <c r="J55" s="82">
        <f t="shared" ref="J55:J58" si="2">IF(H55="Annual",I55/($E$58/12),IF(H55="Monthly",I55/$E$58,I55))</f>
        <v>0</v>
      </c>
      <c r="K55" s="11"/>
      <c r="L55" s="32"/>
      <c r="M55" s="84"/>
      <c r="N55" s="22"/>
    </row>
    <row r="56" spans="2:14" ht="13.95" customHeight="1" x14ac:dyDescent="0.2">
      <c r="B56" s="21"/>
      <c r="C56" s="11"/>
      <c r="D56" s="11"/>
      <c r="E56" s="11"/>
      <c r="F56" s="11"/>
      <c r="G56" s="10" t="s">
        <v>64</v>
      </c>
      <c r="H56" s="63" t="s">
        <v>68</v>
      </c>
      <c r="I56" s="69">
        <v>50000</v>
      </c>
      <c r="J56" s="82">
        <f>IF(H56="Annual",I56/($E$58/12),IF(H56="Monthly",I56/$E$58,I56))</f>
        <v>208.33333333333334</v>
      </c>
      <c r="K56" s="11"/>
      <c r="L56" s="108"/>
      <c r="M56" s="32"/>
      <c r="N56" s="22"/>
    </row>
    <row r="57" spans="2:14" ht="13.95" customHeight="1" x14ac:dyDescent="0.2">
      <c r="B57" s="21"/>
      <c r="C57" s="11"/>
      <c r="D57" s="188" t="s">
        <v>1</v>
      </c>
      <c r="E57" s="188"/>
      <c r="F57" s="11"/>
      <c r="G57" s="10" t="s">
        <v>35</v>
      </c>
      <c r="H57" s="63" t="s">
        <v>66</v>
      </c>
      <c r="I57" s="69">
        <v>3000</v>
      </c>
      <c r="J57" s="82">
        <f>IF(H57="Annual",I57/($E$58/12),IF(H57="Monthly",I57/$E$58,I57))</f>
        <v>3000</v>
      </c>
      <c r="K57" s="11"/>
      <c r="L57" s="109"/>
      <c r="M57" s="32"/>
      <c r="N57" s="22"/>
    </row>
    <row r="58" spans="2:14" ht="13.95" customHeight="1" x14ac:dyDescent="0.2">
      <c r="B58" s="21"/>
      <c r="C58" s="11"/>
      <c r="D58" s="61" t="s">
        <v>17</v>
      </c>
      <c r="E58" s="52">
        <v>240</v>
      </c>
      <c r="F58" s="11"/>
      <c r="G58" s="3" t="s">
        <v>54</v>
      </c>
      <c r="H58" s="63" t="s">
        <v>69</v>
      </c>
      <c r="I58" s="69"/>
      <c r="J58" s="82">
        <f t="shared" si="2"/>
        <v>0</v>
      </c>
      <c r="K58" s="11"/>
      <c r="L58" s="32"/>
      <c r="M58" s="32"/>
      <c r="N58" s="22"/>
    </row>
    <row r="59" spans="2:14" ht="13.95" customHeight="1" x14ac:dyDescent="0.2">
      <c r="B59" s="21"/>
      <c r="C59" s="11"/>
      <c r="D59" s="61" t="s">
        <v>129</v>
      </c>
      <c r="E59" s="62">
        <v>45292</v>
      </c>
      <c r="F59" s="11"/>
      <c r="G59" s="186" t="s">
        <v>23</v>
      </c>
      <c r="H59" s="187"/>
      <c r="I59" s="95">
        <f>SUM(I54:I58)</f>
        <v>55000</v>
      </c>
      <c r="J59" s="58"/>
      <c r="K59" s="11"/>
      <c r="L59" s="32"/>
      <c r="M59" s="32"/>
      <c r="N59" s="22"/>
    </row>
    <row r="60" spans="2:14" ht="13.95" customHeight="1" x14ac:dyDescent="0.2">
      <c r="B60" s="21"/>
      <c r="C60" s="11"/>
      <c r="D60" s="61" t="s">
        <v>36</v>
      </c>
      <c r="E60" s="159">
        <f>IF((ABS(DATEDIF(E59,E61,"m"))+E58)&lt;=ABS(300),(ABS(DATEDIF(E59,E61,"m"))),"Exceeded maximum loan period")</f>
        <v>0</v>
      </c>
      <c r="F60" s="11"/>
      <c r="K60" s="11"/>
      <c r="L60" s="32"/>
      <c r="M60" s="32"/>
      <c r="N60" s="22"/>
    </row>
    <row r="61" spans="2:14" ht="13.95" customHeight="1" x14ac:dyDescent="0.2">
      <c r="B61" s="21"/>
      <c r="C61" s="11"/>
      <c r="D61" s="61" t="s">
        <v>37</v>
      </c>
      <c r="E61" s="62">
        <v>45321</v>
      </c>
      <c r="F61" s="11"/>
      <c r="G61" s="66" t="s">
        <v>77</v>
      </c>
      <c r="H61" s="2"/>
      <c r="I61" s="2"/>
      <c r="K61" s="11"/>
      <c r="L61" s="32"/>
      <c r="M61" s="32"/>
      <c r="N61" s="22"/>
    </row>
    <row r="62" spans="2:14" ht="13.95" customHeight="1" x14ac:dyDescent="0.2">
      <c r="B62" s="21"/>
      <c r="C62" s="11"/>
      <c r="D62" s="11"/>
      <c r="E62" s="11"/>
      <c r="F62" s="11"/>
      <c r="I62" s="2"/>
      <c r="K62" s="11"/>
      <c r="L62" s="32"/>
      <c r="M62" s="32"/>
      <c r="N62" s="22"/>
    </row>
    <row r="63" spans="2:14" ht="13.95" customHeight="1" x14ac:dyDescent="0.2">
      <c r="B63" s="21"/>
      <c r="C63" s="11"/>
      <c r="D63" s="11"/>
      <c r="E63" s="11"/>
      <c r="F63" s="11"/>
      <c r="G63" s="78"/>
      <c r="K63" s="11"/>
      <c r="L63" s="32"/>
      <c r="M63" s="32"/>
      <c r="N63" s="22"/>
    </row>
    <row r="64" spans="2:14" ht="13.95" customHeight="1" x14ac:dyDescent="0.2">
      <c r="B64" s="21"/>
      <c r="C64" s="11"/>
      <c r="D64" s="188" t="s">
        <v>9</v>
      </c>
      <c r="E64" s="188"/>
      <c r="F64" s="11"/>
      <c r="K64" s="11"/>
      <c r="L64" s="32"/>
      <c r="M64" s="32"/>
      <c r="N64" s="22"/>
    </row>
    <row r="65" spans="2:14" ht="13.95" customHeight="1" x14ac:dyDescent="0.2">
      <c r="B65" s="21"/>
      <c r="C65" s="11"/>
      <c r="D65" s="61" t="s">
        <v>12</v>
      </c>
      <c r="E65" s="69">
        <v>300000</v>
      </c>
      <c r="F65" s="11"/>
      <c r="G65" s="72"/>
      <c r="H65" s="11"/>
      <c r="I65" s="11"/>
      <c r="J65" s="11"/>
      <c r="K65" s="11"/>
      <c r="L65" s="32"/>
      <c r="M65" s="32"/>
      <c r="N65" s="22"/>
    </row>
    <row r="66" spans="2:14" ht="13.95" customHeight="1" thickBot="1" x14ac:dyDescent="0.25">
      <c r="B66" s="23"/>
      <c r="C66" s="24"/>
      <c r="D66" s="24"/>
      <c r="E66" s="24"/>
      <c r="F66" s="24"/>
      <c r="G66" s="24"/>
      <c r="H66" s="24"/>
      <c r="I66" s="24"/>
      <c r="J66" s="24"/>
      <c r="K66" s="24"/>
      <c r="L66" s="33"/>
      <c r="M66" s="33"/>
      <c r="N66" s="26"/>
    </row>
    <row r="68" spans="2:14" ht="13.95" customHeight="1" thickBot="1" x14ac:dyDescent="0.25"/>
    <row r="69" spans="2:14" ht="13.95" customHeight="1" x14ac:dyDescent="0.2">
      <c r="B69" s="18"/>
      <c r="C69" s="19"/>
      <c r="D69" s="19"/>
      <c r="E69" s="19"/>
      <c r="F69" s="19"/>
      <c r="G69" s="19"/>
      <c r="H69" s="19"/>
      <c r="I69" s="19"/>
      <c r="J69" s="19"/>
      <c r="K69" s="19"/>
      <c r="L69" s="31"/>
      <c r="M69" s="31"/>
      <c r="N69" s="20"/>
    </row>
    <row r="70" spans="2:14" ht="13.95" customHeight="1" x14ac:dyDescent="0.2">
      <c r="B70" s="21"/>
      <c r="C70" s="189" t="s">
        <v>21</v>
      </c>
      <c r="D70" s="189"/>
      <c r="E70" s="189"/>
      <c r="F70" s="189"/>
      <c r="G70" s="189"/>
      <c r="H70" s="189"/>
      <c r="I70" s="189"/>
      <c r="J70" s="189"/>
      <c r="K70" s="189"/>
      <c r="L70" s="189"/>
      <c r="M70" s="189"/>
      <c r="N70" s="22"/>
    </row>
    <row r="71" spans="2:14" ht="13.95" customHeight="1" x14ac:dyDescent="0.2">
      <c r="B71" s="21"/>
      <c r="C71" s="11"/>
      <c r="D71" s="11"/>
      <c r="E71" s="11"/>
      <c r="F71" s="11"/>
      <c r="G71" s="11"/>
      <c r="H71" s="11"/>
      <c r="I71" s="11"/>
      <c r="J71" s="11"/>
      <c r="K71" s="11"/>
      <c r="L71" s="32"/>
      <c r="M71" s="32"/>
      <c r="N71" s="22"/>
    </row>
    <row r="72" spans="2:14" ht="36" customHeight="1" x14ac:dyDescent="0.2">
      <c r="B72" s="21"/>
      <c r="C72" s="11"/>
      <c r="D72" s="190" t="s">
        <v>0</v>
      </c>
      <c r="E72" s="191"/>
      <c r="F72" s="27"/>
      <c r="G72" s="28" t="s">
        <v>84</v>
      </c>
      <c r="H72" s="28" t="s">
        <v>13</v>
      </c>
      <c r="I72" s="29" t="s">
        <v>25</v>
      </c>
      <c r="J72" s="29" t="s">
        <v>99</v>
      </c>
      <c r="K72" s="27"/>
      <c r="L72" s="28" t="s">
        <v>7</v>
      </c>
      <c r="N72" s="22"/>
    </row>
    <row r="73" spans="2:14" ht="13.95" customHeight="1" x14ac:dyDescent="0.2">
      <c r="B73" s="21"/>
      <c r="C73" s="11"/>
      <c r="D73" s="61" t="s">
        <v>134</v>
      </c>
      <c r="E73" s="69">
        <v>10000</v>
      </c>
      <c r="F73" s="11"/>
      <c r="G73" s="10" t="s">
        <v>33</v>
      </c>
      <c r="H73" s="63" t="s">
        <v>69</v>
      </c>
      <c r="I73" s="52">
        <v>200</v>
      </c>
      <c r="J73" s="58">
        <f>IF(H73="Annual",I73/1,IF(H73="Monthly",I73/12,I73))</f>
        <v>200</v>
      </c>
      <c r="K73" s="11"/>
      <c r="L73" s="59">
        <f>IFERROR('Credit Card'!F6,"")</f>
        <v>0.30306856036186225</v>
      </c>
      <c r="N73" s="22"/>
    </row>
    <row r="74" spans="2:14" ht="13.95" customHeight="1" x14ac:dyDescent="0.2">
      <c r="B74" s="21"/>
      <c r="C74" s="11"/>
      <c r="D74" s="61" t="s">
        <v>117</v>
      </c>
      <c r="E74" s="51">
        <v>0.2</v>
      </c>
      <c r="F74" s="11"/>
      <c r="G74" s="10" t="s">
        <v>34</v>
      </c>
      <c r="H74" s="63" t="s">
        <v>69</v>
      </c>
      <c r="I74" s="52">
        <v>100</v>
      </c>
      <c r="J74" s="58">
        <f>IF(H74="Annual",I74/1,IF(H74="Monthly",I74/12,I74))</f>
        <v>100</v>
      </c>
      <c r="K74" s="11"/>
      <c r="L74" s="32"/>
      <c r="M74" s="32"/>
      <c r="N74" s="22"/>
    </row>
    <row r="75" spans="2:14" ht="13.95" customHeight="1" x14ac:dyDescent="0.2">
      <c r="B75" s="21"/>
      <c r="C75" s="11"/>
      <c r="F75" s="11"/>
      <c r="G75" s="10" t="s">
        <v>54</v>
      </c>
      <c r="H75" s="63" t="s">
        <v>66</v>
      </c>
      <c r="I75" s="52">
        <v>100</v>
      </c>
      <c r="J75" s="58">
        <f>IF(H75="Annual",I75/1,IF(H75="Monthly",I75/12,I75))</f>
        <v>100</v>
      </c>
      <c r="K75" s="11"/>
      <c r="L75" s="108"/>
      <c r="M75" s="32"/>
      <c r="N75" s="22"/>
    </row>
    <row r="76" spans="2:14" ht="13.95" customHeight="1" x14ac:dyDescent="0.2">
      <c r="B76" s="21"/>
      <c r="C76" s="11"/>
      <c r="D76" s="11"/>
      <c r="E76" s="11"/>
      <c r="F76" s="11"/>
      <c r="G76" s="192" t="s">
        <v>23</v>
      </c>
      <c r="H76" s="192"/>
      <c r="I76" s="95">
        <f>SUM(I73:I75)</f>
        <v>400</v>
      </c>
      <c r="J76" s="58"/>
      <c r="K76" s="11"/>
      <c r="L76" s="109"/>
      <c r="M76" s="32"/>
      <c r="N76" s="22"/>
    </row>
    <row r="77" spans="2:14" ht="13.95" customHeight="1" x14ac:dyDescent="0.2">
      <c r="B77" s="21"/>
      <c r="C77" s="11"/>
      <c r="D77" s="188" t="s">
        <v>1</v>
      </c>
      <c r="E77" s="188"/>
      <c r="F77" s="11"/>
      <c r="K77" s="11"/>
      <c r="L77" s="32"/>
      <c r="M77" s="32"/>
      <c r="N77" s="22"/>
    </row>
    <row r="78" spans="2:14" ht="13.95" customHeight="1" x14ac:dyDescent="0.2">
      <c r="B78" s="21"/>
      <c r="C78" s="11"/>
      <c r="D78" s="3" t="s">
        <v>52</v>
      </c>
      <c r="E78" s="62">
        <v>45292</v>
      </c>
      <c r="F78" s="11"/>
      <c r="K78" s="11"/>
      <c r="L78" s="32"/>
      <c r="M78" s="32"/>
      <c r="N78" s="22"/>
    </row>
    <row r="79" spans="2:14" ht="13.95" customHeight="1" x14ac:dyDescent="0.2">
      <c r="B79" s="21"/>
      <c r="C79" s="11"/>
      <c r="D79" s="61" t="s">
        <v>37</v>
      </c>
      <c r="E79" s="62">
        <v>45321</v>
      </c>
      <c r="F79" s="11"/>
      <c r="I79" s="1" t="s">
        <v>136</v>
      </c>
      <c r="K79" s="11"/>
      <c r="L79" s="32"/>
      <c r="M79" s="32"/>
      <c r="N79" s="22"/>
    </row>
    <row r="80" spans="2:14" ht="13.95" customHeight="1" x14ac:dyDescent="0.2">
      <c r="B80" s="21"/>
      <c r="C80" s="11"/>
      <c r="D80" s="11"/>
      <c r="E80" s="11"/>
      <c r="F80" s="11"/>
      <c r="K80" s="11"/>
      <c r="L80" s="32"/>
      <c r="M80" s="32"/>
      <c r="N80" s="22"/>
    </row>
    <row r="81" spans="2:14" ht="13.95" customHeight="1" x14ac:dyDescent="0.2">
      <c r="B81" s="21"/>
      <c r="C81" s="11"/>
      <c r="D81" s="66"/>
      <c r="E81" s="11"/>
      <c r="F81" s="11"/>
      <c r="K81" s="11"/>
      <c r="L81" s="32"/>
      <c r="M81" s="32"/>
      <c r="N81" s="22"/>
    </row>
    <row r="82" spans="2:14" ht="13.95" customHeight="1" thickBot="1" x14ac:dyDescent="0.25">
      <c r="B82" s="23"/>
      <c r="C82" s="24"/>
      <c r="D82" s="24"/>
      <c r="E82" s="24"/>
      <c r="F82" s="24"/>
      <c r="G82" s="24"/>
      <c r="H82" s="24"/>
      <c r="I82" s="24"/>
      <c r="J82" s="24"/>
      <c r="K82" s="24"/>
      <c r="L82" s="33"/>
      <c r="M82" s="33"/>
      <c r="N82" s="26"/>
    </row>
    <row r="87" spans="2:14" ht="13.95" customHeight="1" x14ac:dyDescent="0.2">
      <c r="F87" s="68"/>
    </row>
  </sheetData>
  <mergeCells count="27">
    <mergeCell ref="B3:H11"/>
    <mergeCell ref="D33:E33"/>
    <mergeCell ref="G20:H20"/>
    <mergeCell ref="D45:E45"/>
    <mergeCell ref="G38:H38"/>
    <mergeCell ref="D38:E38"/>
    <mergeCell ref="K8:N8"/>
    <mergeCell ref="K9:N9"/>
    <mergeCell ref="K10:N10"/>
    <mergeCell ref="G59:H59"/>
    <mergeCell ref="D77:E77"/>
    <mergeCell ref="C14:M14"/>
    <mergeCell ref="C31:M31"/>
    <mergeCell ref="C51:M51"/>
    <mergeCell ref="C70:M70"/>
    <mergeCell ref="D53:E53"/>
    <mergeCell ref="D72:E72"/>
    <mergeCell ref="D57:E57"/>
    <mergeCell ref="D64:E64"/>
    <mergeCell ref="G76:H76"/>
    <mergeCell ref="D16:E16"/>
    <mergeCell ref="D21:E21"/>
    <mergeCell ref="K3:N3"/>
    <mergeCell ref="K4:N4"/>
    <mergeCell ref="K5:N5"/>
    <mergeCell ref="K6:N6"/>
    <mergeCell ref="K7:N7"/>
  </mergeCells>
  <conditionalFormatting sqref="E42">
    <cfRule type="expression" dxfId="4" priority="4">
      <formula>$E42&lt;$E40</formula>
    </cfRule>
  </conditionalFormatting>
  <conditionalFormatting sqref="E61">
    <cfRule type="expression" dxfId="3" priority="3">
      <formula>$E61&lt;$E59</formula>
    </cfRule>
  </conditionalFormatting>
  <conditionalFormatting sqref="E79">
    <cfRule type="expression" dxfId="2" priority="2">
      <formula>$E79&lt;$E78</formula>
    </cfRule>
  </conditionalFormatting>
  <conditionalFormatting sqref="E25">
    <cfRule type="expression" dxfId="1" priority="1">
      <formula>$E25&lt;$E23</formula>
    </cfRule>
  </conditionalFormatting>
  <dataValidations count="2">
    <dataValidation type="list" allowBlank="1" showInputMessage="1" showErrorMessage="1" sqref="H20 H38 H76" xr:uid="{00000000-0002-0000-0100-000000000000}">
      <formula1>"Monthly, Annual, Beginning of the loan, End of the loan"</formula1>
    </dataValidation>
    <dataValidation type="list" allowBlank="1" showInputMessage="1" showErrorMessage="1" sqref="H17:H19 H34:H37 H54:H58 H73:H75" xr:uid="{00000000-0002-0000-0100-000001000000}">
      <formula1>"Monthly, Annual, Upfront payment, 1st Installment"</formula1>
    </dataValidation>
  </dataValidations>
  <pageMargins left="0.7" right="0.7" top="0.75" bottom="0.75" header="0.3" footer="0.3"/>
  <pageSetup orientation="portrait" r:id="rId1"/>
  <headerFooter>
    <oddHeader>&amp;C
&amp;G</oddHead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24571D"/>
  </sheetPr>
  <dimension ref="A1:V85"/>
  <sheetViews>
    <sheetView showGridLines="0" zoomScale="85" zoomScaleNormal="85" workbookViewId="0">
      <selection activeCell="B19" sqref="B19"/>
    </sheetView>
  </sheetViews>
  <sheetFormatPr defaultColWidth="8.88671875" defaultRowHeight="11.4" x14ac:dyDescent="0.2"/>
  <cols>
    <col min="1" max="1" width="8.88671875" style="1"/>
    <col min="2" max="7" width="24.33203125" style="1" customWidth="1"/>
    <col min="8" max="8" width="29.109375" style="1" bestFit="1" customWidth="1"/>
    <col min="9" max="9" width="24.33203125" style="1" customWidth="1"/>
    <col min="10" max="10" width="26.77734375" style="1" bestFit="1" customWidth="1"/>
    <col min="11" max="13" width="24.33203125" style="1" customWidth="1"/>
    <col min="14" max="14" width="17.33203125" style="1" bestFit="1" customWidth="1"/>
    <col min="15" max="15" width="11" style="1" bestFit="1" customWidth="1"/>
    <col min="16" max="16" width="12" style="1" bestFit="1" customWidth="1"/>
    <col min="17" max="18" width="10.44140625" style="1" bestFit="1" customWidth="1"/>
    <col min="19" max="19" width="11.6640625" style="1" bestFit="1" customWidth="1"/>
    <col min="20" max="20" width="6.77734375" style="1" customWidth="1"/>
    <col min="21" max="22" width="8.88671875" style="1" customWidth="1"/>
    <col min="23" max="16384" width="8.88671875" style="1"/>
  </cols>
  <sheetData>
    <row r="1" spans="2:22" x14ac:dyDescent="0.2">
      <c r="U1" s="179">
        <f>ROW(R17)</f>
        <v>17</v>
      </c>
      <c r="V1" s="179">
        <f>ROW(S17)</f>
        <v>17</v>
      </c>
    </row>
    <row r="2" spans="2:22" ht="16.95" customHeight="1" x14ac:dyDescent="0.2">
      <c r="B2" s="198" t="s">
        <v>14</v>
      </c>
      <c r="C2" s="198"/>
      <c r="D2" s="198"/>
      <c r="E2" s="198"/>
      <c r="F2" s="198"/>
      <c r="G2" s="198"/>
      <c r="H2" s="198"/>
      <c r="I2" s="198"/>
      <c r="J2" s="198"/>
      <c r="K2" s="198"/>
      <c r="L2" s="198"/>
      <c r="M2" s="198"/>
      <c r="N2" s="198"/>
      <c r="U2" s="179">
        <f>COLUMN(R17)</f>
        <v>18</v>
      </c>
      <c r="V2" s="179">
        <f>COLUMN(S17)</f>
        <v>19</v>
      </c>
    </row>
    <row r="3" spans="2:22" x14ac:dyDescent="0.2">
      <c r="U3" s="179"/>
      <c r="V3" s="180">
        <f>COUNTIF(R17:R80,"&gt;0")-1</f>
        <v>60</v>
      </c>
    </row>
    <row r="4" spans="2:22" x14ac:dyDescent="0.2">
      <c r="B4" s="196" t="s">
        <v>19</v>
      </c>
      <c r="C4" s="196"/>
      <c r="D4" s="196"/>
      <c r="E4" s="196"/>
      <c r="F4" s="196"/>
    </row>
    <row r="6" spans="2:22" x14ac:dyDescent="0.2">
      <c r="B6" s="3" t="s">
        <v>17</v>
      </c>
      <c r="C6" s="3">
        <f>Input!E22</f>
        <v>60</v>
      </c>
      <c r="E6" s="17" t="s">
        <v>7</v>
      </c>
      <c r="F6" s="14">
        <f ca="1">XIRR(S17:INDIRECT(ADDRESS($V$1+$V$3,$V$2)),R17:INDIRECT(ADDRESS($U$1+$V$3,$U$2)))</f>
        <v>5.426354706287384E-2</v>
      </c>
    </row>
    <row r="7" spans="2:22" x14ac:dyDescent="0.2">
      <c r="E7" s="144"/>
      <c r="F7" s="145"/>
      <c r="G7" s="143"/>
    </row>
    <row r="8" spans="2:22" x14ac:dyDescent="0.2">
      <c r="B8" s="3" t="s">
        <v>2</v>
      </c>
      <c r="C8" s="5">
        <f>Input!E17</f>
        <v>20000</v>
      </c>
      <c r="D8" s="97"/>
    </row>
    <row r="9" spans="2:22" x14ac:dyDescent="0.2">
      <c r="B9" s="3" t="s">
        <v>110</v>
      </c>
      <c r="C9" s="5">
        <f>-SUM(E18:E80)</f>
        <v>1669.2465884651849</v>
      </c>
      <c r="D9" s="64"/>
      <c r="E9" s="64"/>
    </row>
    <row r="10" spans="2:22" x14ac:dyDescent="0.2">
      <c r="B10" s="3" t="s">
        <v>8</v>
      </c>
      <c r="C10" s="5">
        <f>SUM($M$17:$M$80)</f>
        <v>1000</v>
      </c>
      <c r="D10" s="8"/>
      <c r="E10" s="73"/>
      <c r="F10" s="73"/>
    </row>
    <row r="11" spans="2:22" x14ac:dyDescent="0.2">
      <c r="B11" s="3" t="s">
        <v>41</v>
      </c>
      <c r="C11" s="9">
        <f>EDATE(Input!E25,C6)</f>
        <v>47148</v>
      </c>
      <c r="D11" s="2"/>
      <c r="E11" s="2"/>
      <c r="F11" s="73"/>
      <c r="S11" s="8"/>
    </row>
    <row r="12" spans="2:22" x14ac:dyDescent="0.2">
      <c r="D12" s="2"/>
      <c r="E12" s="2"/>
      <c r="F12" s="161"/>
    </row>
    <row r="13" spans="2:22" x14ac:dyDescent="0.2">
      <c r="D13" s="2"/>
      <c r="E13" s="2"/>
      <c r="F13" s="73"/>
      <c r="I13" s="2"/>
      <c r="O13" s="15"/>
      <c r="S13" s="8"/>
    </row>
    <row r="14" spans="2:22" x14ac:dyDescent="0.2">
      <c r="D14" s="2"/>
      <c r="E14" s="2"/>
      <c r="F14" s="73"/>
      <c r="O14" s="7"/>
      <c r="P14" s="8"/>
      <c r="Q14" s="8"/>
    </row>
    <row r="15" spans="2:22" x14ac:dyDescent="0.2">
      <c r="E15" s="75"/>
      <c r="G15" s="74"/>
      <c r="M15" s="12"/>
      <c r="R15" s="197" t="s">
        <v>38</v>
      </c>
      <c r="S15" s="197"/>
    </row>
    <row r="16" spans="2:22" x14ac:dyDescent="0.2">
      <c r="B16" s="13" t="s">
        <v>3</v>
      </c>
      <c r="C16" s="13" t="s">
        <v>4</v>
      </c>
      <c r="D16" s="13" t="s">
        <v>5</v>
      </c>
      <c r="E16" s="13" t="s">
        <v>110</v>
      </c>
      <c r="F16" s="13" t="s">
        <v>10</v>
      </c>
      <c r="G16" s="13" t="s">
        <v>111</v>
      </c>
      <c r="H16" s="13" t="s">
        <v>6</v>
      </c>
      <c r="I16" s="13" t="s">
        <v>11</v>
      </c>
      <c r="J16" s="13" t="s">
        <v>32</v>
      </c>
      <c r="K16" s="13" t="s">
        <v>33</v>
      </c>
      <c r="L16" s="13" t="s">
        <v>53</v>
      </c>
      <c r="M16" s="13" t="s">
        <v>15</v>
      </c>
      <c r="N16" s="13" t="s">
        <v>16</v>
      </c>
      <c r="R16" s="13" t="s">
        <v>39</v>
      </c>
      <c r="S16" s="13" t="s">
        <v>40</v>
      </c>
    </row>
    <row r="17" spans="2:22" x14ac:dyDescent="0.2">
      <c r="B17" s="16">
        <v>0</v>
      </c>
      <c r="C17" s="162">
        <f>Input!E23</f>
        <v>45292</v>
      </c>
      <c r="D17" s="6">
        <v>0</v>
      </c>
      <c r="E17" s="6">
        <v>0</v>
      </c>
      <c r="F17" s="6">
        <v>0</v>
      </c>
      <c r="G17" s="6">
        <v>0</v>
      </c>
      <c r="H17" s="6">
        <v>0</v>
      </c>
      <c r="I17" s="6">
        <v>0</v>
      </c>
      <c r="J17" s="6" t="str">
        <f>IF(AND(Input!$H$17="Upfront Payment",B17=0),Input!$J$17,"")</f>
        <v/>
      </c>
      <c r="K17" s="6" t="str">
        <f>IF(AND(Input!$H$18="Upfront Payment",B17=0),Input!$J$18,"")</f>
        <v/>
      </c>
      <c r="L17" s="6" t="str">
        <f>IF(AND(Input!$H$19="Upfront Payment",B17=0),Input!$J$19,"")</f>
        <v/>
      </c>
      <c r="M17" s="6">
        <f t="shared" ref="M17:M48" si="0">IF(B17&lt;&gt;"",SUM(J17:L17),"")</f>
        <v>0</v>
      </c>
      <c r="N17" s="4">
        <f t="shared" ref="N17:N48" si="1">IF(B17&lt;&gt;"",(-H17+M17),"")</f>
        <v>0</v>
      </c>
      <c r="R17" s="9">
        <f>C17</f>
        <v>45292</v>
      </c>
      <c r="S17" s="5">
        <f>-(C8-N17)</f>
        <v>-20000</v>
      </c>
      <c r="T17" s="138"/>
      <c r="U17" s="8"/>
      <c r="V17" s="8"/>
    </row>
    <row r="18" spans="2:22" x14ac:dyDescent="0.2">
      <c r="B18" s="16">
        <v>1</v>
      </c>
      <c r="C18" s="162">
        <f>Input!E25</f>
        <v>45321</v>
      </c>
      <c r="D18" s="6">
        <f>IFERROR(PPMT(Input!$E$18/12,B18,$C$6,Input!$E$17)," ")</f>
        <v>-307.82077647441974</v>
      </c>
      <c r="E18" s="6">
        <f>IFERROR(IPMT(Input!$E$18/12,B18,$C$6,Input!$E$17)," ")</f>
        <v>-53.333333333333329</v>
      </c>
      <c r="F18" s="6">
        <f>D18</f>
        <v>-307.82077647441974</v>
      </c>
      <c r="G18" s="6">
        <f>E18</f>
        <v>-53.333333333333329</v>
      </c>
      <c r="H18" s="6">
        <f>IFERROR((D18+E18)," ")</f>
        <v>-361.15410980775306</v>
      </c>
      <c r="I18" s="6">
        <f>C8+D18</f>
        <v>19692.179223525582</v>
      </c>
      <c r="J18" s="6">
        <f>IF(B18&lt;&gt;"",IF(AND(Input!$H$17="Annual",MOD(B18,12)=0),Input!$J$17,IF(AND(Input!$H$17="1st Installment",B18=1),Input!$J$17,IF(Input!$H$17="Monthly",Input!$J$17,""))),"")</f>
        <v>1000</v>
      </c>
      <c r="K18" s="6" t="str">
        <f>IF(B18&lt;&gt;"",IF(AND(Input!$H$18="Annual",MOD(B18,12)=0),Input!$J$18,IF(AND(Input!$H$18="1st Installment",B18=1),Input!$J$18,IF(Input!$H$18="Monthly",Input!$J$18,""))),"")</f>
        <v/>
      </c>
      <c r="L18" s="6">
        <f>IF(B18&lt;&gt;"",IF(AND(Input!$H$19="Annual",MOD(B18,12)=0),Input!$J$19,IF(AND(Input!$H$19="1st Installment",B18=1),Input!$J$19,IF(Input!$H$19="Monthly",Input!$J$19,IF(AND(Input!$H$19="End of the loan",B18=Input!$E$22),Input!$J$19,"")))),"")</f>
        <v>0</v>
      </c>
      <c r="M18" s="6">
        <f>IF(B18&lt;&gt;"",SUM(J18:L18),"")</f>
        <v>1000</v>
      </c>
      <c r="N18" s="4">
        <f>IF(B18&lt;&gt;"",(-H18+M18),"")</f>
        <v>1361.154109807753</v>
      </c>
      <c r="R18" s="9">
        <f t="shared" ref="R18:R77" si="2">C18</f>
        <v>45321</v>
      </c>
      <c r="S18" s="5">
        <f>IFERROR(ROUND(_xlfn.IFNA(VLOOKUP(R18,$C$18:$N$80,12,0),0),2)," ")</f>
        <v>1361.15</v>
      </c>
      <c r="T18" s="138"/>
    </row>
    <row r="19" spans="2:22" x14ac:dyDescent="0.2">
      <c r="B19" s="16">
        <f t="shared" ref="B19:B77" si="3">IF(B18="","",IF((B18+1)&lt;=$C$6,B18+1,""))</f>
        <v>2</v>
      </c>
      <c r="C19" s="162">
        <f>IF(B19="","",EDATE($C$18,(B19-1)))</f>
        <v>45351</v>
      </c>
      <c r="D19" s="6">
        <f>IFERROR(IF(B19&lt;&gt;"",PPMT(Input!$E$18/12,B19,$C$6,Input!$E$17),"")," ")</f>
        <v>-308.64163187835157</v>
      </c>
      <c r="E19" s="6">
        <f>IFERROR(IPMT(Input!$E$18/12,B19,$C$6,Input!$E$17)," ")</f>
        <v>-52.512477929401527</v>
      </c>
      <c r="F19" s="6">
        <f t="shared" ref="F19:F50" si="4">IF(B19&lt;&gt;"",F18+D19,"")</f>
        <v>-616.46240835277126</v>
      </c>
      <c r="G19" s="6">
        <f t="shared" ref="G19:G50" si="5">IF(B19&lt;&gt;"",G18+E19,"")</f>
        <v>-105.84581126273486</v>
      </c>
      <c r="H19" s="6">
        <f t="shared" ref="H19:H77" si="6">IFERROR((D19+E19)," ")</f>
        <v>-361.15410980775312</v>
      </c>
      <c r="I19" s="6">
        <f t="shared" ref="I19:I50" si="7">IF(B19&lt;&gt;"",I18+D19,"")</f>
        <v>19383.537591647229</v>
      </c>
      <c r="J19" s="6" t="str">
        <f>IF(B19&lt;&gt;"",IF(AND(Input!$H$17="Annual",MOD(B19,12)=0),Input!$J$17,IF(AND(Input!$H$17="1st Installment",B19=1),Input!$J$17,IF(Input!$H$17="Monthly",Input!$J$17,""))),"")</f>
        <v/>
      </c>
      <c r="K19" s="6" t="str">
        <f>IF(B19&lt;&gt;"",IF(AND(Input!$H$18="Annual",MOD(B19,12)=0),Input!$J$18,IF(AND(Input!$H$18="1st Installment",B19=1),Input!$J$18,IF(Input!$H$18="Monthly",Input!$J$18,""))),"")</f>
        <v/>
      </c>
      <c r="L19" s="6">
        <f>IF(B19&lt;&gt;"",IF(AND(Input!$H$19="Annual",MOD(B19,12)=0),Input!$J$19,IF(AND(Input!$H$19="1st Installment",B19=1),Input!$J$19,IF(Input!$H$19="Monthly",Input!$J$19,IF(AND(Input!$H$19="End of the loan",B19=Input!$E$22),Input!$J$19,"")))),"")</f>
        <v>0</v>
      </c>
      <c r="M19" s="6">
        <f t="shared" si="0"/>
        <v>0</v>
      </c>
      <c r="N19" s="4">
        <f>IF(B19&lt;&gt;"",(-H19+M19),"")</f>
        <v>361.15410980775312</v>
      </c>
      <c r="R19" s="9">
        <f t="shared" si="2"/>
        <v>45351</v>
      </c>
      <c r="S19" s="5">
        <f t="shared" ref="S19:S77" si="8">IFERROR(ROUND(_xlfn.IFNA(VLOOKUP(R19,$C$18:$N$80,12,0),0),2)," ")</f>
        <v>361.15</v>
      </c>
      <c r="T19" s="138"/>
    </row>
    <row r="20" spans="2:22" x14ac:dyDescent="0.2">
      <c r="B20" s="16">
        <f t="shared" si="3"/>
        <v>3</v>
      </c>
      <c r="C20" s="162">
        <f>IF(B20="","",EDATE($C$18,(B20-1)))</f>
        <v>45381</v>
      </c>
      <c r="D20" s="6">
        <f>IFERROR(IF(B20&lt;&gt;"",PPMT(Input!$E$18/12,B20,$C$6,Input!$E$17),"")," ")</f>
        <v>-309.46467623002712</v>
      </c>
      <c r="E20" s="6">
        <f>IFERROR(IPMT(Input!$E$18/12,B20,$C$6,Input!$E$17)," ")</f>
        <v>-51.689433577725936</v>
      </c>
      <c r="F20" s="6">
        <f t="shared" si="4"/>
        <v>-925.92708458279844</v>
      </c>
      <c r="G20" s="6">
        <f t="shared" si="5"/>
        <v>-157.53524484046079</v>
      </c>
      <c r="H20" s="6">
        <f t="shared" si="6"/>
        <v>-361.15410980775306</v>
      </c>
      <c r="I20" s="6">
        <f t="shared" si="7"/>
        <v>19074.072915417204</v>
      </c>
      <c r="J20" s="6" t="str">
        <f>IF(B20&lt;&gt;"",IF(AND(Input!$H$17="Annual",MOD(B20,12)=0),Input!$J$17,IF(AND(Input!$H$17="1st Installment",B20=1),Input!$J$17,IF(Input!$H$17="Monthly",Input!$J$17,""))),"")</f>
        <v/>
      </c>
      <c r="K20" s="6" t="str">
        <f>IF(B20&lt;&gt;"",IF(AND(Input!$H$18="Annual",MOD(B20,12)=0),Input!$J$18,IF(AND(Input!$H$18="1st Installment",B20=1),Input!$J$18,IF(Input!$H$18="Monthly",Input!$J$18,""))),"")</f>
        <v/>
      </c>
      <c r="L20" s="6">
        <f>IF(B20&lt;&gt;"",IF(AND(Input!$H$19="Annual",MOD(B20,12)=0),Input!$J$19,IF(AND(Input!$H$19="1st Installment",B20=1),Input!$J$19,IF(Input!$H$19="Monthly",Input!$J$19,IF(AND(Input!$H$19="End of the loan",B20=Input!$E$22),Input!$J$19,"")))),"")</f>
        <v>0</v>
      </c>
      <c r="M20" s="6">
        <f t="shared" si="0"/>
        <v>0</v>
      </c>
      <c r="N20" s="4">
        <f t="shared" si="1"/>
        <v>361.15410980775306</v>
      </c>
      <c r="R20" s="9">
        <f t="shared" si="2"/>
        <v>45381</v>
      </c>
      <c r="S20" s="5">
        <f t="shared" si="8"/>
        <v>361.15</v>
      </c>
      <c r="T20" s="138"/>
    </row>
    <row r="21" spans="2:22" x14ac:dyDescent="0.2">
      <c r="B21" s="16">
        <f t="shared" si="3"/>
        <v>4</v>
      </c>
      <c r="C21" s="162">
        <f t="shared" ref="C21:C77" si="9">IF(B21="","",EDATE($C$18,(B21-1)))</f>
        <v>45412</v>
      </c>
      <c r="D21" s="6">
        <f>IFERROR(IF(B21&lt;&gt;"",PPMT(Input!$E$18/12,B21,$C$6,Input!$E$17),"")," ")</f>
        <v>-310.28991536664051</v>
      </c>
      <c r="E21" s="6">
        <f>IFERROR(IPMT(Input!$E$18/12,B21,$C$6,Input!$E$17)," ")</f>
        <v>-50.864194441112531</v>
      </c>
      <c r="F21" s="6">
        <f t="shared" si="4"/>
        <v>-1236.216999949439</v>
      </c>
      <c r="G21" s="6">
        <f t="shared" si="5"/>
        <v>-208.39943928157334</v>
      </c>
      <c r="H21" s="6">
        <f t="shared" si="6"/>
        <v>-361.15410980775306</v>
      </c>
      <c r="I21" s="6">
        <f t="shared" si="7"/>
        <v>18763.783000050564</v>
      </c>
      <c r="J21" s="6" t="str">
        <f>IF(B21&lt;&gt;"",IF(AND(Input!$H$17="Annual",MOD(B21,12)=0),Input!$J$17,IF(AND(Input!$H$17="1st Installment",B21=1),Input!$J$17,IF(Input!$H$17="Monthly",Input!$J$17,""))),"")</f>
        <v/>
      </c>
      <c r="K21" s="6" t="str">
        <f>IF(B21&lt;&gt;"",IF(AND(Input!$H$18="Annual",MOD(B21,12)=0),Input!$J$18,IF(AND(Input!$H$18="1st Installment",B21=1),Input!$J$18,IF(Input!$H$18="Monthly",Input!$J$18,""))),"")</f>
        <v/>
      </c>
      <c r="L21" s="6">
        <f>IF(B21&lt;&gt;"",IF(AND(Input!$H$19="Annual",MOD(B21,12)=0),Input!$J$19,IF(AND(Input!$H$19="1st Installment",B21=1),Input!$J$19,IF(Input!$H$19="Monthly",Input!$J$19,IF(AND(Input!$H$19="End of the loan",B21=Input!$E$22),Input!$J$19,"")))),"")</f>
        <v>0</v>
      </c>
      <c r="M21" s="6">
        <f t="shared" si="0"/>
        <v>0</v>
      </c>
      <c r="N21" s="4">
        <f t="shared" si="1"/>
        <v>361.15410980775306</v>
      </c>
      <c r="R21" s="9">
        <f t="shared" si="2"/>
        <v>45412</v>
      </c>
      <c r="S21" s="5">
        <f t="shared" si="8"/>
        <v>361.15</v>
      </c>
      <c r="T21" s="138"/>
    </row>
    <row r="22" spans="2:22" x14ac:dyDescent="0.2">
      <c r="B22" s="16">
        <f t="shared" si="3"/>
        <v>5</v>
      </c>
      <c r="C22" s="162">
        <f t="shared" si="9"/>
        <v>45442</v>
      </c>
      <c r="D22" s="6">
        <f>IFERROR(IF(B22&lt;&gt;"",PPMT(Input!$E$18/12,B22,$C$6,Input!$E$17),"")," ")</f>
        <v>-311.11735514095159</v>
      </c>
      <c r="E22" s="6">
        <f>IFERROR(IPMT(Input!$E$18/12,B22,$C$6,Input!$E$17)," ")</f>
        <v>-50.036754666801471</v>
      </c>
      <c r="F22" s="6">
        <f t="shared" si="4"/>
        <v>-1547.3343550903905</v>
      </c>
      <c r="G22" s="6">
        <f t="shared" si="5"/>
        <v>-258.43619394837481</v>
      </c>
      <c r="H22" s="6">
        <f t="shared" si="6"/>
        <v>-361.15410980775306</v>
      </c>
      <c r="I22" s="6">
        <f t="shared" si="7"/>
        <v>18452.665644909612</v>
      </c>
      <c r="J22" s="6" t="str">
        <f>IF(B22&lt;&gt;"",IF(AND(Input!$H$17="Annual",MOD(B22,12)=0),Input!$J$17,IF(AND(Input!$H$17="1st Installment",B22=1),Input!$J$17,IF(Input!$H$17="Monthly",Input!$J$17,""))),"")</f>
        <v/>
      </c>
      <c r="K22" s="6" t="str">
        <f>IF(B22&lt;&gt;"",IF(AND(Input!$H$18="Annual",MOD(B22,12)=0),Input!$J$18,IF(AND(Input!$H$18="1st Installment",B22=1),Input!$J$18,IF(Input!$H$18="Monthly",Input!$J$18,""))),"")</f>
        <v/>
      </c>
      <c r="L22" s="6">
        <f>IF(B22&lt;&gt;"",IF(AND(Input!$H$19="Annual",MOD(B22,12)=0),Input!$J$19,IF(AND(Input!$H$19="1st Installment",B22=1),Input!$J$19,IF(Input!$H$19="Monthly",Input!$J$19,IF(AND(Input!$H$19="End of the loan",B22=Input!$E$22),Input!$J$19,"")))),"")</f>
        <v>0</v>
      </c>
      <c r="M22" s="6">
        <f t="shared" si="0"/>
        <v>0</v>
      </c>
      <c r="N22" s="4">
        <f t="shared" si="1"/>
        <v>361.15410980775306</v>
      </c>
      <c r="R22" s="9">
        <f t="shared" si="2"/>
        <v>45442</v>
      </c>
      <c r="S22" s="5">
        <f t="shared" si="8"/>
        <v>361.15</v>
      </c>
      <c r="T22" s="138"/>
    </row>
    <row r="23" spans="2:22" x14ac:dyDescent="0.2">
      <c r="B23" s="16">
        <f t="shared" si="3"/>
        <v>6</v>
      </c>
      <c r="C23" s="162">
        <f t="shared" si="9"/>
        <v>45473</v>
      </c>
      <c r="D23" s="6">
        <f>IFERROR(IF(B23&lt;&gt;"",PPMT(Input!$E$18/12,B23,$C$6,Input!$E$17),"")," ")</f>
        <v>-311.94700142132746</v>
      </c>
      <c r="E23" s="6">
        <f>IFERROR(IPMT(Input!$E$18/12,B23,$C$6,Input!$E$17)," ")</f>
        <v>-49.20710838642561</v>
      </c>
      <c r="F23" s="6">
        <f t="shared" si="4"/>
        <v>-1859.2813565117181</v>
      </c>
      <c r="G23" s="6">
        <f t="shared" si="5"/>
        <v>-307.64330233480041</v>
      </c>
      <c r="H23" s="6">
        <f t="shared" si="6"/>
        <v>-361.15410980775306</v>
      </c>
      <c r="I23" s="6">
        <f t="shared" si="7"/>
        <v>18140.718643488286</v>
      </c>
      <c r="J23" s="6" t="str">
        <f>IF(B23&lt;&gt;"",IF(AND(Input!$H$17="Annual",MOD(B23,12)=0),Input!$J$17,IF(AND(Input!$H$17="1st Installment",B23=1),Input!$J$17,IF(Input!$H$17="Monthly",Input!$J$17,""))),"")</f>
        <v/>
      </c>
      <c r="K23" s="6" t="str">
        <f>IF(B23&lt;&gt;"",IF(AND(Input!$H$18="Annual",MOD(B23,12)=0),Input!$J$18,IF(AND(Input!$H$18="1st Installment",B23=1),Input!$J$18,IF(Input!$H$18="Monthly",Input!$J$18,""))),"")</f>
        <v/>
      </c>
      <c r="L23" s="6">
        <f>IF(B23&lt;&gt;"",IF(AND(Input!$H$19="Annual",MOD(B23,12)=0),Input!$J$19,IF(AND(Input!$H$19="1st Installment",B23=1),Input!$J$19,IF(Input!$H$19="Monthly",Input!$J$19,IF(AND(Input!$H$19="End of the loan",B23=Input!$E$22),Input!$J$19,"")))),"")</f>
        <v>0</v>
      </c>
      <c r="M23" s="6">
        <f t="shared" si="0"/>
        <v>0</v>
      </c>
      <c r="N23" s="4">
        <f t="shared" si="1"/>
        <v>361.15410980775306</v>
      </c>
      <c r="R23" s="9">
        <f t="shared" si="2"/>
        <v>45473</v>
      </c>
      <c r="S23" s="5">
        <f t="shared" si="8"/>
        <v>361.15</v>
      </c>
      <c r="T23" s="138"/>
    </row>
    <row r="24" spans="2:22" x14ac:dyDescent="0.2">
      <c r="B24" s="16">
        <f t="shared" si="3"/>
        <v>7</v>
      </c>
      <c r="C24" s="162">
        <f t="shared" si="9"/>
        <v>45503</v>
      </c>
      <c r="D24" s="6">
        <f>IFERROR(IF(B24&lt;&gt;"",PPMT(Input!$E$18/12,B24,$C$6,Input!$E$17),"")," ")</f>
        <v>-312.77886009178434</v>
      </c>
      <c r="E24" s="6">
        <f>IFERROR(IPMT(Input!$E$18/12,B24,$C$6,Input!$E$17)," ")</f>
        <v>-48.375249715968749</v>
      </c>
      <c r="F24" s="6">
        <f t="shared" si="4"/>
        <v>-2172.0602166035023</v>
      </c>
      <c r="G24" s="6">
        <f t="shared" si="5"/>
        <v>-356.01855205076913</v>
      </c>
      <c r="H24" s="6">
        <f t="shared" si="6"/>
        <v>-361.15410980775312</v>
      </c>
      <c r="I24" s="6">
        <f t="shared" si="7"/>
        <v>17827.939783396501</v>
      </c>
      <c r="J24" s="6" t="str">
        <f>IF(B24&lt;&gt;"",IF(AND(Input!$H$17="Annual",MOD(B24,12)=0),Input!$J$17,IF(AND(Input!$H$17="1st Installment",B24=1),Input!$J$17,IF(Input!$H$17="Monthly",Input!$J$17,""))),"")</f>
        <v/>
      </c>
      <c r="K24" s="6" t="str">
        <f>IF(B24&lt;&gt;"",IF(AND(Input!$H$18="Annual",MOD(B24,12)=0),Input!$J$18,IF(AND(Input!$H$18="1st Installment",B24=1),Input!$J$18,IF(Input!$H$18="Monthly",Input!$J$18,""))),"")</f>
        <v/>
      </c>
      <c r="L24" s="6">
        <f>IF(B24&lt;&gt;"",IF(AND(Input!$H$19="Annual",MOD(B24,12)=0),Input!$J$19,IF(AND(Input!$H$19="1st Installment",B24=1),Input!$J$19,IF(Input!$H$19="Monthly",Input!$J$19,IF(AND(Input!$H$19="End of the loan",B24=Input!$E$22),Input!$J$19,"")))),"")</f>
        <v>0</v>
      </c>
      <c r="M24" s="6">
        <f t="shared" si="0"/>
        <v>0</v>
      </c>
      <c r="N24" s="4">
        <f t="shared" si="1"/>
        <v>361.15410980775312</v>
      </c>
      <c r="R24" s="9">
        <f t="shared" si="2"/>
        <v>45503</v>
      </c>
      <c r="S24" s="5">
        <f t="shared" si="8"/>
        <v>361.15</v>
      </c>
      <c r="T24" s="138"/>
    </row>
    <row r="25" spans="2:22" x14ac:dyDescent="0.2">
      <c r="B25" s="16">
        <f t="shared" si="3"/>
        <v>8</v>
      </c>
      <c r="C25" s="162">
        <f t="shared" si="9"/>
        <v>45534</v>
      </c>
      <c r="D25" s="6">
        <f>IFERROR(IF(B25&lt;&gt;"",PPMT(Input!$E$18/12,B25,$C$6,Input!$E$17),"")," ")</f>
        <v>-313.61293705202911</v>
      </c>
      <c r="E25" s="6">
        <f>IFERROR(IPMT(Input!$E$18/12,B25,$C$6,Input!$E$17)," ")</f>
        <v>-47.541172755723984</v>
      </c>
      <c r="F25" s="6">
        <f t="shared" si="4"/>
        <v>-2485.6731536555317</v>
      </c>
      <c r="G25" s="6">
        <f t="shared" si="5"/>
        <v>-403.55972480649314</v>
      </c>
      <c r="H25" s="6">
        <f t="shared" si="6"/>
        <v>-361.15410980775312</v>
      </c>
      <c r="I25" s="6">
        <f t="shared" si="7"/>
        <v>17514.326846344473</v>
      </c>
      <c r="J25" s="6" t="str">
        <f>IF(B25&lt;&gt;"",IF(AND(Input!$H$17="Annual",MOD(B25,12)=0),Input!$J$17,IF(AND(Input!$H$17="1st Installment",B25=1),Input!$J$17,IF(Input!$H$17="Monthly",Input!$J$17,""))),"")</f>
        <v/>
      </c>
      <c r="K25" s="6" t="str">
        <f>IF(B25&lt;&gt;"",IF(AND(Input!$H$18="Annual",MOD(B25,12)=0),Input!$J$18,IF(AND(Input!$H$18="1st Installment",B25=1),Input!$J$18,IF(Input!$H$18="Monthly",Input!$J$18,""))),"")</f>
        <v/>
      </c>
      <c r="L25" s="6">
        <f>IF(B25&lt;&gt;"",IF(AND(Input!$H$19="Annual",MOD(B25,12)=0),Input!$J$19,IF(AND(Input!$H$19="1st Installment",B25=1),Input!$J$19,IF(Input!$H$19="Monthly",Input!$J$19,IF(AND(Input!$H$19="End of the loan",B25=Input!$E$22),Input!$J$19,"")))),"")</f>
        <v>0</v>
      </c>
      <c r="M25" s="6">
        <f t="shared" si="0"/>
        <v>0</v>
      </c>
      <c r="N25" s="4">
        <f t="shared" si="1"/>
        <v>361.15410980775312</v>
      </c>
      <c r="R25" s="9">
        <f t="shared" si="2"/>
        <v>45534</v>
      </c>
      <c r="S25" s="5">
        <f t="shared" si="8"/>
        <v>361.15</v>
      </c>
      <c r="T25" s="138"/>
    </row>
    <row r="26" spans="2:22" x14ac:dyDescent="0.2">
      <c r="B26" s="16">
        <f t="shared" si="3"/>
        <v>9</v>
      </c>
      <c r="C26" s="162">
        <f t="shared" si="9"/>
        <v>45565</v>
      </c>
      <c r="D26" s="6">
        <f>IFERROR(IF(B26&lt;&gt;"",PPMT(Input!$E$18/12,B26,$C$6,Input!$E$17),"")," ")</f>
        <v>-314.44923821750115</v>
      </c>
      <c r="E26" s="6">
        <f>IFERROR(IPMT(Input!$E$18/12,B26,$C$6,Input!$E$17)," ")</f>
        <v>-46.704871590251905</v>
      </c>
      <c r="F26" s="6">
        <f t="shared" si="4"/>
        <v>-2800.1223918730329</v>
      </c>
      <c r="G26" s="6">
        <f t="shared" si="5"/>
        <v>-450.26459639674505</v>
      </c>
      <c r="H26" s="6">
        <f t="shared" si="6"/>
        <v>-361.15410980775306</v>
      </c>
      <c r="I26" s="6">
        <f t="shared" si="7"/>
        <v>17199.877608126972</v>
      </c>
      <c r="J26" s="6" t="str">
        <f>IF(B26&lt;&gt;"",IF(AND(Input!$H$17="Annual",MOD(B26,12)=0),Input!$J$17,IF(AND(Input!$H$17="1st Installment",B26=1),Input!$J$17,IF(Input!$H$17="Monthly",Input!$J$17,""))),"")</f>
        <v/>
      </c>
      <c r="K26" s="6" t="str">
        <f>IF(B26&lt;&gt;"",IF(AND(Input!$H$18="Annual",MOD(B26,12)=0),Input!$J$18,IF(AND(Input!$H$18="1st Installment",B26=1),Input!$J$18,IF(Input!$H$18="Monthly",Input!$J$18,""))),"")</f>
        <v/>
      </c>
      <c r="L26" s="6">
        <f>IF(B26&lt;&gt;"",IF(AND(Input!$H$19="Annual",MOD(B26,12)=0),Input!$J$19,IF(AND(Input!$H$19="1st Installment",B26=1),Input!$J$19,IF(Input!$H$19="Monthly",Input!$J$19,IF(AND(Input!$H$19="End of the loan",B26=Input!$E$22),Input!$J$19,"")))),"")</f>
        <v>0</v>
      </c>
      <c r="M26" s="6">
        <f t="shared" si="0"/>
        <v>0</v>
      </c>
      <c r="N26" s="4">
        <f t="shared" si="1"/>
        <v>361.15410980775306</v>
      </c>
      <c r="R26" s="9">
        <f t="shared" si="2"/>
        <v>45565</v>
      </c>
      <c r="S26" s="5">
        <f t="shared" si="8"/>
        <v>361.15</v>
      </c>
      <c r="T26" s="138"/>
    </row>
    <row r="27" spans="2:22" x14ac:dyDescent="0.2">
      <c r="B27" s="16">
        <f t="shared" si="3"/>
        <v>10</v>
      </c>
      <c r="C27" s="162">
        <f t="shared" si="9"/>
        <v>45595</v>
      </c>
      <c r="D27" s="6">
        <f>IFERROR(IF(B27&lt;&gt;"",PPMT(Input!$E$18/12,B27,$C$6,Input!$E$17),"")," ")</f>
        <v>-315.2877695194145</v>
      </c>
      <c r="E27" s="6">
        <f>IFERROR(IPMT(Input!$E$18/12,B27,$C$6,Input!$E$17)," ")</f>
        <v>-45.86634028833857</v>
      </c>
      <c r="F27" s="6">
        <f t="shared" si="4"/>
        <v>-3115.4101613924477</v>
      </c>
      <c r="G27" s="6">
        <f t="shared" si="5"/>
        <v>-496.13093668508361</v>
      </c>
      <c r="H27" s="6">
        <f t="shared" si="6"/>
        <v>-361.15410980775306</v>
      </c>
      <c r="I27" s="6">
        <f t="shared" si="7"/>
        <v>16884.589838607557</v>
      </c>
      <c r="J27" s="6" t="str">
        <f>IF(B27&lt;&gt;"",IF(AND(Input!$H$17="Annual",MOD(B27,12)=0),Input!$J$17,IF(AND(Input!$H$17="1st Installment",B27=1),Input!$J$17,IF(Input!$H$17="Monthly",Input!$J$17,""))),"")</f>
        <v/>
      </c>
      <c r="K27" s="6" t="str">
        <f>IF(B27&lt;&gt;"",IF(AND(Input!$H$18="Annual",MOD(B27,12)=0),Input!$J$18,IF(AND(Input!$H$18="1st Installment",B27=1),Input!$J$18,IF(Input!$H$18="Monthly",Input!$J$18,""))),"")</f>
        <v/>
      </c>
      <c r="L27" s="6">
        <f>IF(B27&lt;&gt;"",IF(AND(Input!$H$19="Annual",MOD(B27,12)=0),Input!$J$19,IF(AND(Input!$H$19="1st Installment",B27=1),Input!$J$19,IF(Input!$H$19="Monthly",Input!$J$19,IF(AND(Input!$H$19="End of the loan",B27=Input!$E$22),Input!$J$19,"")))),"")</f>
        <v>0</v>
      </c>
      <c r="M27" s="6">
        <f t="shared" si="0"/>
        <v>0</v>
      </c>
      <c r="N27" s="4">
        <f t="shared" si="1"/>
        <v>361.15410980775306</v>
      </c>
      <c r="R27" s="9">
        <f t="shared" si="2"/>
        <v>45595</v>
      </c>
      <c r="S27" s="5">
        <f t="shared" si="8"/>
        <v>361.15</v>
      </c>
      <c r="T27" s="138"/>
    </row>
    <row r="28" spans="2:22" x14ac:dyDescent="0.2">
      <c r="B28" s="16">
        <f t="shared" si="3"/>
        <v>11</v>
      </c>
      <c r="C28" s="162">
        <f t="shared" si="9"/>
        <v>45626</v>
      </c>
      <c r="D28" s="6">
        <f>IFERROR(IF(B28&lt;&gt;"",PPMT(Input!$E$18/12,B28,$C$6,Input!$E$17),"")," ")</f>
        <v>-316.1285369047996</v>
      </c>
      <c r="E28" s="6">
        <f>IFERROR(IPMT(Input!$E$18/12,B28,$C$6,Input!$E$17)," ")</f>
        <v>-45.025572902953463</v>
      </c>
      <c r="F28" s="6">
        <f t="shared" si="4"/>
        <v>-3431.5386982972473</v>
      </c>
      <c r="G28" s="6">
        <f t="shared" si="5"/>
        <v>-541.15650958803712</v>
      </c>
      <c r="H28" s="6">
        <f t="shared" si="6"/>
        <v>-361.15410980775306</v>
      </c>
      <c r="I28" s="6">
        <f t="shared" si="7"/>
        <v>16568.461301702759</v>
      </c>
      <c r="J28" s="6" t="str">
        <f>IF(B28&lt;&gt;"",IF(AND(Input!$H$17="Annual",MOD(B28,12)=0),Input!$J$17,IF(AND(Input!$H$17="1st Installment",B28=1),Input!$J$17,IF(Input!$H$17="Monthly",Input!$J$17,""))),"")</f>
        <v/>
      </c>
      <c r="K28" s="6" t="str">
        <f>IF(B28&lt;&gt;"",IF(AND(Input!$H$18="Annual",MOD(B28,12)=0),Input!$J$18,IF(AND(Input!$H$18="1st Installment",B28=1),Input!$J$18,IF(Input!$H$18="Monthly",Input!$J$18,""))),"")</f>
        <v/>
      </c>
      <c r="L28" s="6">
        <f>IF(B28&lt;&gt;"",IF(AND(Input!$H$19="Annual",MOD(B28,12)=0),Input!$J$19,IF(AND(Input!$H$19="1st Installment",B28=1),Input!$J$19,IF(Input!$H$19="Monthly",Input!$J$19,IF(AND(Input!$H$19="End of the loan",B28=Input!$E$22),Input!$J$19,"")))),"")</f>
        <v>0</v>
      </c>
      <c r="M28" s="6">
        <f t="shared" si="0"/>
        <v>0</v>
      </c>
      <c r="N28" s="4">
        <f t="shared" si="1"/>
        <v>361.15410980775306</v>
      </c>
      <c r="R28" s="9">
        <f t="shared" si="2"/>
        <v>45626</v>
      </c>
      <c r="S28" s="5">
        <f t="shared" si="8"/>
        <v>361.15</v>
      </c>
      <c r="T28" s="138"/>
    </row>
    <row r="29" spans="2:22" x14ac:dyDescent="0.2">
      <c r="B29" s="16">
        <f t="shared" si="3"/>
        <v>12</v>
      </c>
      <c r="C29" s="162">
        <f t="shared" si="9"/>
        <v>45656</v>
      </c>
      <c r="D29" s="6">
        <f>IFERROR(IF(B29&lt;&gt;"",PPMT(Input!$E$18/12,B29,$C$6,Input!$E$17),"")," ")</f>
        <v>-316.97154633654571</v>
      </c>
      <c r="E29" s="6">
        <f>IFERROR(IPMT(Input!$E$18/12,B29,$C$6,Input!$E$17)," ")</f>
        <v>-44.182563471207324</v>
      </c>
      <c r="F29" s="6">
        <f t="shared" si="4"/>
        <v>-3748.5102446337928</v>
      </c>
      <c r="G29" s="6">
        <f t="shared" si="5"/>
        <v>-585.33907305924447</v>
      </c>
      <c r="H29" s="6">
        <f t="shared" si="6"/>
        <v>-361.15410980775306</v>
      </c>
      <c r="I29" s="6">
        <f t="shared" si="7"/>
        <v>16251.489755366212</v>
      </c>
      <c r="J29" s="6" t="str">
        <f>IF(B29&lt;&gt;"",IF(AND(Input!$H$17="Annual",MOD(B29,12)=0),Input!$J$17,IF(AND(Input!$H$17="1st Installment",B29=1),Input!$J$17,IF(Input!$H$17="Monthly",Input!$J$17,""))),"")</f>
        <v/>
      </c>
      <c r="K29" s="6">
        <f>IF(B29&lt;&gt;"",IF(AND(Input!$H$18="Annual",MOD(B29,12)=0),Input!$J$18,IF(AND(Input!$H$18="1st Installment",B29=1),Input!$J$18,IF(Input!$H$18="Monthly",Input!$J$18,""))),"")</f>
        <v>0</v>
      </c>
      <c r="L29" s="6">
        <f>IF(B29&lt;&gt;"",IF(AND(Input!$H$19="Annual",MOD(B29,12)=0),Input!$J$19,IF(AND(Input!$H$19="1st Installment",B29=1),Input!$J$19,IF(Input!$H$19="Monthly",Input!$J$19,IF(AND(Input!$H$19="End of the loan",B29=Input!$E$22),Input!$J$19,"")))),"")</f>
        <v>0</v>
      </c>
      <c r="M29" s="6">
        <f t="shared" si="0"/>
        <v>0</v>
      </c>
      <c r="N29" s="4">
        <f t="shared" si="1"/>
        <v>361.15410980775306</v>
      </c>
      <c r="R29" s="9">
        <f t="shared" si="2"/>
        <v>45656</v>
      </c>
      <c r="S29" s="5">
        <f t="shared" si="8"/>
        <v>361.15</v>
      </c>
      <c r="T29" s="138"/>
    </row>
    <row r="30" spans="2:22" x14ac:dyDescent="0.2">
      <c r="B30" s="16">
        <f t="shared" si="3"/>
        <v>13</v>
      </c>
      <c r="C30" s="162">
        <f t="shared" si="9"/>
        <v>45687</v>
      </c>
      <c r="D30" s="6">
        <f>IFERROR(IF(B30&lt;&gt;"",PPMT(Input!$E$18/12,B30,$C$6,Input!$E$17),"")," ")</f>
        <v>-317.81680379344317</v>
      </c>
      <c r="E30" s="6">
        <f>IFERROR(IPMT(Input!$E$18/12,B30,$C$6,Input!$E$17)," ")</f>
        <v>-43.337306014309881</v>
      </c>
      <c r="F30" s="6">
        <f t="shared" si="4"/>
        <v>-4066.3270484272362</v>
      </c>
      <c r="G30" s="6">
        <f t="shared" si="5"/>
        <v>-628.67637907355436</v>
      </c>
      <c r="H30" s="6">
        <f t="shared" si="6"/>
        <v>-361.15410980775306</v>
      </c>
      <c r="I30" s="6">
        <f t="shared" si="7"/>
        <v>15933.672951572769</v>
      </c>
      <c r="J30" s="6" t="str">
        <f>IF(B30&lt;&gt;"",IF(AND(Input!$H$17="Annual",MOD(B30,12)=0),Input!$J$17,IF(AND(Input!$H$17="1st Installment",B30=1),Input!$J$17,IF(Input!$H$17="Monthly",Input!$J$17,""))),"")</f>
        <v/>
      </c>
      <c r="K30" s="6" t="str">
        <f>IF(B30&lt;&gt;"",IF(AND(Input!$H$18="Annual",MOD(B30,12)=0),Input!$J$18,IF(AND(Input!$H$18="1st Installment",B30=1),Input!$J$18,IF(Input!$H$18="Monthly",Input!$J$18,""))),"")</f>
        <v/>
      </c>
      <c r="L30" s="6">
        <f>IF(B30&lt;&gt;"",IF(AND(Input!$H$19="Annual",MOD(B30,12)=0),Input!$J$19,IF(AND(Input!$H$19="1st Installment",B30=1),Input!$J$19,IF(Input!$H$19="Monthly",Input!$J$19,IF(AND(Input!$H$19="End of the loan",B30=Input!$E$22),Input!$J$19,"")))),"")</f>
        <v>0</v>
      </c>
      <c r="M30" s="6">
        <f t="shared" si="0"/>
        <v>0</v>
      </c>
      <c r="N30" s="4">
        <f t="shared" si="1"/>
        <v>361.15410980775306</v>
      </c>
      <c r="R30" s="9">
        <f t="shared" si="2"/>
        <v>45687</v>
      </c>
      <c r="S30" s="5">
        <f t="shared" si="8"/>
        <v>361.15</v>
      </c>
      <c r="T30" s="138"/>
    </row>
    <row r="31" spans="2:22" x14ac:dyDescent="0.2">
      <c r="B31" s="16">
        <f t="shared" si="3"/>
        <v>14</v>
      </c>
      <c r="C31" s="162">
        <f t="shared" si="9"/>
        <v>45716</v>
      </c>
      <c r="D31" s="6">
        <f>IFERROR(IF(B31&lt;&gt;"",PPMT(Input!$E$18/12,B31,$C$6,Input!$E$17),"")," ")</f>
        <v>-318.6643152702257</v>
      </c>
      <c r="E31" s="6">
        <f>IFERROR(IPMT(Input!$E$18/12,B31,$C$6,Input!$E$17)," ")</f>
        <v>-42.489794537527359</v>
      </c>
      <c r="F31" s="6">
        <f t="shared" si="4"/>
        <v>-4384.9913636974616</v>
      </c>
      <c r="G31" s="6">
        <f t="shared" si="5"/>
        <v>-671.16617361108172</v>
      </c>
      <c r="H31" s="6">
        <f t="shared" si="6"/>
        <v>-361.15410980775306</v>
      </c>
      <c r="I31" s="6">
        <f t="shared" si="7"/>
        <v>15615.008636302544</v>
      </c>
      <c r="J31" s="6" t="str">
        <f>IF(B31&lt;&gt;"",IF(AND(Input!$H$17="Annual",MOD(B31,12)=0),Input!$J$17,IF(AND(Input!$H$17="1st Installment",B31=1),Input!$J$17,IF(Input!$H$17="Monthly",Input!$J$17,""))),"")</f>
        <v/>
      </c>
      <c r="K31" s="6" t="str">
        <f>IF(B31&lt;&gt;"",IF(AND(Input!$H$18="Annual",MOD(B31,12)=0),Input!$J$18,IF(AND(Input!$H$18="1st Installment",B31=1),Input!$J$18,IF(Input!$H$18="Monthly",Input!$J$18,""))),"")</f>
        <v/>
      </c>
      <c r="L31" s="6">
        <f>IF(B31&lt;&gt;"",IF(AND(Input!$H$19="Annual",MOD(B31,12)=0),Input!$J$19,IF(AND(Input!$H$19="1st Installment",B31=1),Input!$J$19,IF(Input!$H$19="Monthly",Input!$J$19,IF(AND(Input!$H$19="End of the loan",B31=Input!$E$22),Input!$J$19,"")))),"")</f>
        <v>0</v>
      </c>
      <c r="M31" s="6">
        <f t="shared" si="0"/>
        <v>0</v>
      </c>
      <c r="N31" s="4">
        <f t="shared" si="1"/>
        <v>361.15410980775306</v>
      </c>
      <c r="R31" s="9">
        <f t="shared" si="2"/>
        <v>45716</v>
      </c>
      <c r="S31" s="5">
        <f t="shared" si="8"/>
        <v>361.15</v>
      </c>
      <c r="T31" s="138"/>
    </row>
    <row r="32" spans="2:22" x14ac:dyDescent="0.2">
      <c r="B32" s="16">
        <f t="shared" si="3"/>
        <v>15</v>
      </c>
      <c r="C32" s="162">
        <f t="shared" si="9"/>
        <v>45746</v>
      </c>
      <c r="D32" s="6">
        <f>IFERROR(IF(B32&lt;&gt;"",PPMT(Input!$E$18/12,B32,$C$6,Input!$E$17),"")," ")</f>
        <v>-319.51408677761293</v>
      </c>
      <c r="E32" s="6">
        <f>IFERROR(IPMT(Input!$E$18/12,B32,$C$6,Input!$E$17)," ")</f>
        <v>-41.6400230301401</v>
      </c>
      <c r="F32" s="6">
        <f t="shared" si="4"/>
        <v>-4704.5054504750742</v>
      </c>
      <c r="G32" s="6">
        <f t="shared" si="5"/>
        <v>-712.80619664122185</v>
      </c>
      <c r="H32" s="6">
        <f t="shared" si="6"/>
        <v>-361.154109807753</v>
      </c>
      <c r="I32" s="6">
        <f t="shared" si="7"/>
        <v>15295.49454952493</v>
      </c>
      <c r="J32" s="6" t="str">
        <f>IF(B32&lt;&gt;"",IF(AND(Input!$H$17="Annual",MOD(B32,12)=0),Input!$J$17,IF(AND(Input!$H$17="1st Installment",B32=1),Input!$J$17,IF(Input!$H$17="Monthly",Input!$J$17,""))),"")</f>
        <v/>
      </c>
      <c r="K32" s="6" t="str">
        <f>IF(B32&lt;&gt;"",IF(AND(Input!$H$18="Annual",MOD(B32,12)=0),Input!$J$18,IF(AND(Input!$H$18="1st Installment",B32=1),Input!$J$18,IF(Input!$H$18="Monthly",Input!$J$18,""))),"")</f>
        <v/>
      </c>
      <c r="L32" s="6">
        <f>IF(B32&lt;&gt;"",IF(AND(Input!$H$19="Annual",MOD(B32,12)=0),Input!$J$19,IF(AND(Input!$H$19="1st Installment",B32=1),Input!$J$19,IF(Input!$H$19="Monthly",Input!$J$19,IF(AND(Input!$H$19="End of the loan",B32=Input!$E$22),Input!$J$19,"")))),"")</f>
        <v>0</v>
      </c>
      <c r="M32" s="6">
        <f t="shared" si="0"/>
        <v>0</v>
      </c>
      <c r="N32" s="4">
        <f t="shared" si="1"/>
        <v>361.154109807753</v>
      </c>
      <c r="R32" s="9">
        <f t="shared" si="2"/>
        <v>45746</v>
      </c>
      <c r="S32" s="5">
        <f t="shared" si="8"/>
        <v>361.15</v>
      </c>
      <c r="T32" s="138"/>
    </row>
    <row r="33" spans="2:20" x14ac:dyDescent="0.2">
      <c r="B33" s="16">
        <f t="shared" si="3"/>
        <v>16</v>
      </c>
      <c r="C33" s="162">
        <f t="shared" si="9"/>
        <v>45777</v>
      </c>
      <c r="D33" s="6">
        <f>IFERROR(IF(B33&lt;&gt;"",PPMT(Input!$E$18/12,B33,$C$6,Input!$E$17),"")," ")</f>
        <v>-320.36612434235326</v>
      </c>
      <c r="E33" s="6">
        <f>IFERROR(IPMT(Input!$E$18/12,B33,$C$6,Input!$E$17)," ")</f>
        <v>-40.787985465399807</v>
      </c>
      <c r="F33" s="6">
        <f t="shared" si="4"/>
        <v>-5024.8715748174272</v>
      </c>
      <c r="G33" s="6">
        <f t="shared" si="5"/>
        <v>-753.5941821066217</v>
      </c>
      <c r="H33" s="6">
        <f t="shared" si="6"/>
        <v>-361.15410980775306</v>
      </c>
      <c r="I33" s="6">
        <f t="shared" si="7"/>
        <v>14975.128425182576</v>
      </c>
      <c r="J33" s="6" t="str">
        <f>IF(B33&lt;&gt;"",IF(AND(Input!$H$17="Annual",MOD(B33,12)=0),Input!$J$17,IF(AND(Input!$H$17="1st Installment",B33=1),Input!$J$17,IF(Input!$H$17="Monthly",Input!$J$17,""))),"")</f>
        <v/>
      </c>
      <c r="K33" s="6" t="str">
        <f>IF(B33&lt;&gt;"",IF(AND(Input!$H$18="Annual",MOD(B33,12)=0),Input!$J$18,IF(AND(Input!$H$18="1st Installment",B33=1),Input!$J$18,IF(Input!$H$18="Monthly",Input!$J$18,""))),"")</f>
        <v/>
      </c>
      <c r="L33" s="6">
        <f>IF(B33&lt;&gt;"",IF(AND(Input!$H$19="Annual",MOD(B33,12)=0),Input!$J$19,IF(AND(Input!$H$19="1st Installment",B33=1),Input!$J$19,IF(Input!$H$19="Monthly",Input!$J$19,IF(AND(Input!$H$19="End of the loan",B33=Input!$E$22),Input!$J$19,"")))),"")</f>
        <v>0</v>
      </c>
      <c r="M33" s="6">
        <f t="shared" si="0"/>
        <v>0</v>
      </c>
      <c r="N33" s="4">
        <f t="shared" si="1"/>
        <v>361.15410980775306</v>
      </c>
      <c r="R33" s="9">
        <f t="shared" si="2"/>
        <v>45777</v>
      </c>
      <c r="S33" s="5">
        <f t="shared" si="8"/>
        <v>361.15</v>
      </c>
      <c r="T33" s="138"/>
    </row>
    <row r="34" spans="2:20" x14ac:dyDescent="0.2">
      <c r="B34" s="16">
        <f t="shared" si="3"/>
        <v>17</v>
      </c>
      <c r="C34" s="162">
        <f t="shared" si="9"/>
        <v>45807</v>
      </c>
      <c r="D34" s="6">
        <f>IFERROR(IF(B34&lt;&gt;"",PPMT(Input!$E$18/12,B34,$C$6,Input!$E$17),"")," ")</f>
        <v>-321.22043400726619</v>
      </c>
      <c r="E34" s="6">
        <f>IFERROR(IPMT(Input!$E$18/12,B34,$C$6,Input!$E$17)," ")</f>
        <v>-39.933675800486853</v>
      </c>
      <c r="F34" s="6">
        <f t="shared" si="4"/>
        <v>-5346.092008824693</v>
      </c>
      <c r="G34" s="6">
        <f t="shared" si="5"/>
        <v>-793.52785790710857</v>
      </c>
      <c r="H34" s="6">
        <f t="shared" si="6"/>
        <v>-361.15410980775306</v>
      </c>
      <c r="I34" s="6">
        <f t="shared" si="7"/>
        <v>14653.907991175311</v>
      </c>
      <c r="J34" s="6" t="str">
        <f>IF(B34&lt;&gt;"",IF(AND(Input!$H$17="Annual",MOD(B34,12)=0),Input!$J$17,IF(AND(Input!$H$17="1st Installment",B34=1),Input!$J$17,IF(Input!$H$17="Monthly",Input!$J$17,""))),"")</f>
        <v/>
      </c>
      <c r="K34" s="6" t="str">
        <f>IF(B34&lt;&gt;"",IF(AND(Input!$H$18="Annual",MOD(B34,12)=0),Input!$J$18,IF(AND(Input!$H$18="1st Installment",B34=1),Input!$J$18,IF(Input!$H$18="Monthly",Input!$J$18,""))),"")</f>
        <v/>
      </c>
      <c r="L34" s="6">
        <f>IF(B34&lt;&gt;"",IF(AND(Input!$H$19="Annual",MOD(B34,12)=0),Input!$J$19,IF(AND(Input!$H$19="1st Installment",B34=1),Input!$J$19,IF(Input!$H$19="Monthly",Input!$J$19,IF(AND(Input!$H$19="End of the loan",B34=Input!$E$22),Input!$J$19,"")))),"")</f>
        <v>0</v>
      </c>
      <c r="M34" s="6">
        <f t="shared" si="0"/>
        <v>0</v>
      </c>
      <c r="N34" s="4">
        <f t="shared" si="1"/>
        <v>361.15410980775306</v>
      </c>
      <c r="R34" s="9">
        <f t="shared" si="2"/>
        <v>45807</v>
      </c>
      <c r="S34" s="5">
        <f t="shared" si="8"/>
        <v>361.15</v>
      </c>
      <c r="T34" s="138"/>
    </row>
    <row r="35" spans="2:20" x14ac:dyDescent="0.2">
      <c r="B35" s="16">
        <f t="shared" si="3"/>
        <v>18</v>
      </c>
      <c r="C35" s="162">
        <f t="shared" si="9"/>
        <v>45838</v>
      </c>
      <c r="D35" s="6">
        <f>IFERROR(IF(B35&lt;&gt;"",PPMT(Input!$E$18/12,B35,$C$6,Input!$E$17),"")," ")</f>
        <v>-322.07702183128561</v>
      </c>
      <c r="E35" s="6">
        <f>IFERROR(IPMT(Input!$E$18/12,B35,$C$6,Input!$E$17)," ")</f>
        <v>-39.077087976467475</v>
      </c>
      <c r="F35" s="6">
        <f t="shared" si="4"/>
        <v>-5668.1690306559785</v>
      </c>
      <c r="G35" s="6">
        <f t="shared" si="5"/>
        <v>-832.60494588357608</v>
      </c>
      <c r="H35" s="6">
        <f t="shared" si="6"/>
        <v>-361.15410980775306</v>
      </c>
      <c r="I35" s="6">
        <f t="shared" si="7"/>
        <v>14331.830969344024</v>
      </c>
      <c r="J35" s="6" t="str">
        <f>IF(B35&lt;&gt;"",IF(AND(Input!$H$17="Annual",MOD(B35,12)=0),Input!$J$17,IF(AND(Input!$H$17="1st Installment",B35=1),Input!$J$17,IF(Input!$H$17="Monthly",Input!$J$17,""))),"")</f>
        <v/>
      </c>
      <c r="K35" s="6" t="str">
        <f>IF(B35&lt;&gt;"",IF(AND(Input!$H$18="Annual",MOD(B35,12)=0),Input!$J$18,IF(AND(Input!$H$18="1st Installment",B35=1),Input!$J$18,IF(Input!$H$18="Monthly",Input!$J$18,""))),"")</f>
        <v/>
      </c>
      <c r="L35" s="6">
        <f>IF(B35&lt;&gt;"",IF(AND(Input!$H$19="Annual",MOD(B35,12)=0),Input!$J$19,IF(AND(Input!$H$19="1st Installment",B35=1),Input!$J$19,IF(Input!$H$19="Monthly",Input!$J$19,IF(AND(Input!$H$19="End of the loan",B35=Input!$E$22),Input!$J$19,"")))),"")</f>
        <v>0</v>
      </c>
      <c r="M35" s="6">
        <f t="shared" si="0"/>
        <v>0</v>
      </c>
      <c r="N35" s="4">
        <f t="shared" si="1"/>
        <v>361.15410980775306</v>
      </c>
      <c r="R35" s="9">
        <f t="shared" si="2"/>
        <v>45838</v>
      </c>
      <c r="S35" s="5">
        <f t="shared" si="8"/>
        <v>361.15</v>
      </c>
      <c r="T35" s="138"/>
    </row>
    <row r="36" spans="2:20" x14ac:dyDescent="0.2">
      <c r="B36" s="16">
        <f t="shared" si="3"/>
        <v>19</v>
      </c>
      <c r="C36" s="162">
        <f t="shared" si="9"/>
        <v>45868</v>
      </c>
      <c r="D36" s="6">
        <f>IFERROR(IF(B36&lt;&gt;"",PPMT(Input!$E$18/12,B36,$C$6,Input!$E$17),"")," ")</f>
        <v>-322.93589388950232</v>
      </c>
      <c r="E36" s="6">
        <f>IFERROR(IPMT(Input!$E$18/12,B36,$C$6,Input!$E$17)," ")</f>
        <v>-38.218215918250714</v>
      </c>
      <c r="F36" s="6">
        <f t="shared" si="4"/>
        <v>-5991.1049245454806</v>
      </c>
      <c r="G36" s="6">
        <f t="shared" si="5"/>
        <v>-870.82316180182681</v>
      </c>
      <c r="H36" s="6">
        <f t="shared" si="6"/>
        <v>-361.15410980775306</v>
      </c>
      <c r="I36" s="6">
        <f t="shared" si="7"/>
        <v>14008.895075454522</v>
      </c>
      <c r="J36" s="6" t="str">
        <f>IF(B36&lt;&gt;"",IF(AND(Input!$H$17="Annual",MOD(B36,12)=0),Input!$J$17,IF(AND(Input!$H$17="1st Installment",B36=1),Input!$J$17,IF(Input!$H$17="Monthly",Input!$J$17,""))),"")</f>
        <v/>
      </c>
      <c r="K36" s="6" t="str">
        <f>IF(B36&lt;&gt;"",IF(AND(Input!$H$18="Annual",MOD(B36,12)=0),Input!$J$18,IF(AND(Input!$H$18="1st Installment",B36=1),Input!$J$18,IF(Input!$H$18="Monthly",Input!$J$18,""))),"")</f>
        <v/>
      </c>
      <c r="L36" s="6">
        <f>IF(B36&lt;&gt;"",IF(AND(Input!$H$19="Annual",MOD(B36,12)=0),Input!$J$19,IF(AND(Input!$H$19="1st Installment",B36=1),Input!$J$19,IF(Input!$H$19="Monthly",Input!$J$19,IF(AND(Input!$H$19="End of the loan",B36=Input!$E$22),Input!$J$19,"")))),"")</f>
        <v>0</v>
      </c>
      <c r="M36" s="6">
        <f t="shared" si="0"/>
        <v>0</v>
      </c>
      <c r="N36" s="4">
        <f t="shared" si="1"/>
        <v>361.15410980775306</v>
      </c>
      <c r="R36" s="9">
        <f t="shared" si="2"/>
        <v>45868</v>
      </c>
      <c r="S36" s="5">
        <f t="shared" si="8"/>
        <v>361.15</v>
      </c>
      <c r="T36" s="138"/>
    </row>
    <row r="37" spans="2:20" x14ac:dyDescent="0.2">
      <c r="B37" s="16">
        <f t="shared" si="3"/>
        <v>20</v>
      </c>
      <c r="C37" s="162">
        <f t="shared" si="9"/>
        <v>45899</v>
      </c>
      <c r="D37" s="6">
        <f>IFERROR(IF(B37&lt;&gt;"",PPMT(Input!$E$18/12,B37,$C$6,Input!$E$17),"")," ")</f>
        <v>-323.79705627320766</v>
      </c>
      <c r="E37" s="6">
        <f>IFERROR(IPMT(Input!$E$18/12,B37,$C$6,Input!$E$17)," ")</f>
        <v>-37.357053534545379</v>
      </c>
      <c r="F37" s="6">
        <f t="shared" si="4"/>
        <v>-6314.9019808186886</v>
      </c>
      <c r="G37" s="6">
        <f t="shared" si="5"/>
        <v>-908.18021533637216</v>
      </c>
      <c r="H37" s="6">
        <f t="shared" si="6"/>
        <v>-361.15410980775306</v>
      </c>
      <c r="I37" s="6">
        <f t="shared" si="7"/>
        <v>13685.098019181314</v>
      </c>
      <c r="J37" s="6" t="str">
        <f>IF(B37&lt;&gt;"",IF(AND(Input!$H$17="Annual",MOD(B37,12)=0),Input!$J$17,IF(AND(Input!$H$17="1st Installment",B37=1),Input!$J$17,IF(Input!$H$17="Monthly",Input!$J$17,""))),"")</f>
        <v/>
      </c>
      <c r="K37" s="6" t="str">
        <f>IF(B37&lt;&gt;"",IF(AND(Input!$H$18="Annual",MOD(B37,12)=0),Input!$J$18,IF(AND(Input!$H$18="1st Installment",B37=1),Input!$J$18,IF(Input!$H$18="Monthly",Input!$J$18,""))),"")</f>
        <v/>
      </c>
      <c r="L37" s="6">
        <f>IF(B37&lt;&gt;"",IF(AND(Input!$H$19="Annual",MOD(B37,12)=0),Input!$J$19,IF(AND(Input!$H$19="1st Installment",B37=1),Input!$J$19,IF(Input!$H$19="Monthly",Input!$J$19,IF(AND(Input!$H$19="End of the loan",B37=Input!$E$22),Input!$J$19,"")))),"")</f>
        <v>0</v>
      </c>
      <c r="M37" s="6">
        <f t="shared" si="0"/>
        <v>0</v>
      </c>
      <c r="N37" s="4">
        <f t="shared" si="1"/>
        <v>361.15410980775306</v>
      </c>
      <c r="R37" s="9">
        <f t="shared" si="2"/>
        <v>45899</v>
      </c>
      <c r="S37" s="5">
        <f t="shared" si="8"/>
        <v>361.15</v>
      </c>
      <c r="T37" s="138"/>
    </row>
    <row r="38" spans="2:20" x14ac:dyDescent="0.2">
      <c r="B38" s="16">
        <f t="shared" si="3"/>
        <v>21</v>
      </c>
      <c r="C38" s="162">
        <f t="shared" si="9"/>
        <v>45930</v>
      </c>
      <c r="D38" s="6">
        <f>IFERROR(IF(B38&lt;&gt;"",PPMT(Input!$E$18/12,B38,$C$6,Input!$E$17),"")," ")</f>
        <v>-324.66051508993621</v>
      </c>
      <c r="E38" s="6">
        <f>IFERROR(IPMT(Input!$E$18/12,B38,$C$6,Input!$E$17)," ")</f>
        <v>-36.493594717816819</v>
      </c>
      <c r="F38" s="6">
        <f t="shared" si="4"/>
        <v>-6639.5624959086244</v>
      </c>
      <c r="G38" s="6">
        <f t="shared" si="5"/>
        <v>-944.67381005418895</v>
      </c>
      <c r="H38" s="6">
        <f t="shared" si="6"/>
        <v>-361.154109807753</v>
      </c>
      <c r="I38" s="6">
        <f t="shared" si="7"/>
        <v>13360.437504091378</v>
      </c>
      <c r="J38" s="6" t="str">
        <f>IF(B38&lt;&gt;"",IF(AND(Input!$H$17="Annual",MOD(B38,12)=0),Input!$J$17,IF(AND(Input!$H$17="1st Installment",B38=1),Input!$J$17,IF(Input!$H$17="Monthly",Input!$J$17,""))),"")</f>
        <v/>
      </c>
      <c r="K38" s="6" t="str">
        <f>IF(B38&lt;&gt;"",IF(AND(Input!$H$18="Annual",MOD(B38,12)=0),Input!$J$18,IF(AND(Input!$H$18="1st Installment",B38=1),Input!$J$18,IF(Input!$H$18="Monthly",Input!$J$18,""))),"")</f>
        <v/>
      </c>
      <c r="L38" s="6">
        <f>IF(B38&lt;&gt;"",IF(AND(Input!$H$19="Annual",MOD(B38,12)=0),Input!$J$19,IF(AND(Input!$H$19="1st Installment",B38=1),Input!$J$19,IF(Input!$H$19="Monthly",Input!$J$19,IF(AND(Input!$H$19="End of the loan",B38=Input!$E$22),Input!$J$19,"")))),"")</f>
        <v>0</v>
      </c>
      <c r="M38" s="6">
        <f t="shared" si="0"/>
        <v>0</v>
      </c>
      <c r="N38" s="4">
        <f t="shared" si="1"/>
        <v>361.154109807753</v>
      </c>
      <c r="R38" s="9">
        <f t="shared" si="2"/>
        <v>45930</v>
      </c>
      <c r="S38" s="5">
        <f t="shared" si="8"/>
        <v>361.15</v>
      </c>
      <c r="T38" s="138"/>
    </row>
    <row r="39" spans="2:20" x14ac:dyDescent="0.2">
      <c r="B39" s="16">
        <f t="shared" si="3"/>
        <v>22</v>
      </c>
      <c r="C39" s="162">
        <f t="shared" si="9"/>
        <v>45960</v>
      </c>
      <c r="D39" s="6">
        <f>IFERROR(IF(B39&lt;&gt;"",PPMT(Input!$E$18/12,B39,$C$6,Input!$E$17),"")," ")</f>
        <v>-325.52627646350942</v>
      </c>
      <c r="E39" s="6">
        <f>IFERROR(IPMT(Input!$E$18/12,B39,$C$6,Input!$E$17)," ")</f>
        <v>-35.627833344243662</v>
      </c>
      <c r="F39" s="6">
        <f t="shared" si="4"/>
        <v>-6965.0887723721335</v>
      </c>
      <c r="G39" s="6">
        <f t="shared" si="5"/>
        <v>-980.30164339843259</v>
      </c>
      <c r="H39" s="6">
        <f t="shared" si="6"/>
        <v>-361.15410980775306</v>
      </c>
      <c r="I39" s="6">
        <f t="shared" si="7"/>
        <v>13034.911227627868</v>
      </c>
      <c r="J39" s="6" t="str">
        <f>IF(B39&lt;&gt;"",IF(AND(Input!$H$17="Annual",MOD(B39,12)=0),Input!$J$17,IF(AND(Input!$H$17="1st Installment",B39=1),Input!$J$17,IF(Input!$H$17="Monthly",Input!$J$17,""))),"")</f>
        <v/>
      </c>
      <c r="K39" s="6" t="str">
        <f>IF(B39&lt;&gt;"",IF(AND(Input!$H$18="Annual",MOD(B39,12)=0),Input!$J$18,IF(AND(Input!$H$18="1st Installment",B39=1),Input!$J$18,IF(Input!$H$18="Monthly",Input!$J$18,""))),"")</f>
        <v/>
      </c>
      <c r="L39" s="6">
        <f>IF(B39&lt;&gt;"",IF(AND(Input!$H$19="Annual",MOD(B39,12)=0),Input!$J$19,IF(AND(Input!$H$19="1st Installment",B39=1),Input!$J$19,IF(Input!$H$19="Monthly",Input!$J$19,IF(AND(Input!$H$19="End of the loan",B39=Input!$E$22),Input!$J$19,"")))),"")</f>
        <v>0</v>
      </c>
      <c r="M39" s="6">
        <f t="shared" si="0"/>
        <v>0</v>
      </c>
      <c r="N39" s="4">
        <f t="shared" si="1"/>
        <v>361.15410980775306</v>
      </c>
      <c r="R39" s="9">
        <f t="shared" si="2"/>
        <v>45960</v>
      </c>
      <c r="S39" s="5">
        <f t="shared" si="8"/>
        <v>361.15</v>
      </c>
      <c r="T39" s="138"/>
    </row>
    <row r="40" spans="2:20" x14ac:dyDescent="0.2">
      <c r="B40" s="16">
        <f t="shared" si="3"/>
        <v>23</v>
      </c>
      <c r="C40" s="162">
        <f t="shared" si="9"/>
        <v>45991</v>
      </c>
      <c r="D40" s="6">
        <f>IFERROR(IF(B40&lt;&gt;"",PPMT(Input!$E$18/12,B40,$C$6,Input!$E$17),"")," ")</f>
        <v>-326.39434653407875</v>
      </c>
      <c r="E40" s="6">
        <f>IFERROR(IPMT(Input!$E$18/12,B40,$C$6,Input!$E$17)," ")</f>
        <v>-34.759763273674302</v>
      </c>
      <c r="F40" s="6">
        <f t="shared" si="4"/>
        <v>-7291.4831189062124</v>
      </c>
      <c r="G40" s="6">
        <f t="shared" si="5"/>
        <v>-1015.0614066721068</v>
      </c>
      <c r="H40" s="6">
        <f t="shared" si="6"/>
        <v>-361.15410980775306</v>
      </c>
      <c r="I40" s="6">
        <f t="shared" si="7"/>
        <v>12708.51688109379</v>
      </c>
      <c r="J40" s="6" t="str">
        <f>IF(B40&lt;&gt;"",IF(AND(Input!$H$17="Annual",MOD(B40,12)=0),Input!$J$17,IF(AND(Input!$H$17="1st Installment",B40=1),Input!$J$17,IF(Input!$H$17="Monthly",Input!$J$17,""))),"")</f>
        <v/>
      </c>
      <c r="K40" s="6" t="str">
        <f>IF(B40&lt;&gt;"",IF(AND(Input!$H$18="Annual",MOD(B40,12)=0),Input!$J$18,IF(AND(Input!$H$18="1st Installment",B40=1),Input!$J$18,IF(Input!$H$18="Monthly",Input!$J$18,""))),"")</f>
        <v/>
      </c>
      <c r="L40" s="6">
        <f>IF(B40&lt;&gt;"",IF(AND(Input!$H$19="Annual",MOD(B40,12)=0),Input!$J$19,IF(AND(Input!$H$19="1st Installment",B40=1),Input!$J$19,IF(Input!$H$19="Monthly",Input!$J$19,IF(AND(Input!$H$19="End of the loan",B40=Input!$E$22),Input!$J$19,"")))),"")</f>
        <v>0</v>
      </c>
      <c r="M40" s="6">
        <f t="shared" si="0"/>
        <v>0</v>
      </c>
      <c r="N40" s="4">
        <f t="shared" si="1"/>
        <v>361.15410980775306</v>
      </c>
      <c r="R40" s="9">
        <f t="shared" si="2"/>
        <v>45991</v>
      </c>
      <c r="S40" s="5">
        <f t="shared" si="8"/>
        <v>361.15</v>
      </c>
      <c r="T40" s="138"/>
    </row>
    <row r="41" spans="2:20" x14ac:dyDescent="0.2">
      <c r="B41" s="16">
        <f t="shared" si="3"/>
        <v>24</v>
      </c>
      <c r="C41" s="162">
        <f t="shared" si="9"/>
        <v>46021</v>
      </c>
      <c r="D41" s="6">
        <f>IFERROR(IF(B41&lt;&gt;"",PPMT(Input!$E$18/12,B41,$C$6,Input!$E$17),"")," ")</f>
        <v>-327.26473145816965</v>
      </c>
      <c r="E41" s="6">
        <f>IFERROR(IPMT(Input!$E$18/12,B41,$C$6,Input!$E$17)," ")</f>
        <v>-33.889378349583417</v>
      </c>
      <c r="F41" s="6">
        <f t="shared" si="4"/>
        <v>-7618.7478503643824</v>
      </c>
      <c r="G41" s="6">
        <f t="shared" si="5"/>
        <v>-1048.9507850216903</v>
      </c>
      <c r="H41" s="6">
        <f t="shared" si="6"/>
        <v>-361.15410980775306</v>
      </c>
      <c r="I41" s="6">
        <f t="shared" si="7"/>
        <v>12381.25214963562</v>
      </c>
      <c r="J41" s="6" t="str">
        <f>IF(B41&lt;&gt;"",IF(AND(Input!$H$17="Annual",MOD(B41,12)=0),Input!$J$17,IF(AND(Input!$H$17="1st Installment",B41=1),Input!$J$17,IF(Input!$H$17="Monthly",Input!$J$17,""))),"")</f>
        <v/>
      </c>
      <c r="K41" s="6">
        <f>IF(B41&lt;&gt;"",IF(AND(Input!$H$18="Annual",MOD(B41,12)=0),Input!$J$18,IF(AND(Input!$H$18="1st Installment",B41=1),Input!$J$18,IF(Input!$H$18="Monthly",Input!$J$18,""))),"")</f>
        <v>0</v>
      </c>
      <c r="L41" s="6">
        <f>IF(B41&lt;&gt;"",IF(AND(Input!$H$19="Annual",MOD(B41,12)=0),Input!$J$19,IF(AND(Input!$H$19="1st Installment",B41=1),Input!$J$19,IF(Input!$H$19="Monthly",Input!$J$19,IF(AND(Input!$H$19="End of the loan",B41=Input!$E$22),Input!$J$19,"")))),"")</f>
        <v>0</v>
      </c>
      <c r="M41" s="6">
        <f t="shared" si="0"/>
        <v>0</v>
      </c>
      <c r="N41" s="4">
        <f t="shared" si="1"/>
        <v>361.15410980775306</v>
      </c>
      <c r="R41" s="9">
        <f t="shared" si="2"/>
        <v>46021</v>
      </c>
      <c r="S41" s="5">
        <f t="shared" si="8"/>
        <v>361.15</v>
      </c>
      <c r="T41" s="138"/>
    </row>
    <row r="42" spans="2:20" x14ac:dyDescent="0.2">
      <c r="B42" s="16">
        <f t="shared" si="3"/>
        <v>25</v>
      </c>
      <c r="C42" s="162">
        <f t="shared" si="9"/>
        <v>46052</v>
      </c>
      <c r="D42" s="6">
        <f>IFERROR(IF(B42&lt;&gt;"",PPMT(Input!$E$18/12,B42,$C$6,Input!$E$17),"")," ")</f>
        <v>-328.13743740872474</v>
      </c>
      <c r="E42" s="6">
        <f>IFERROR(IPMT(Input!$E$18/12,B42,$C$6,Input!$E$17)," ")</f>
        <v>-33.016672399028302</v>
      </c>
      <c r="F42" s="6">
        <f t="shared" si="4"/>
        <v>-7946.8852877731069</v>
      </c>
      <c r="G42" s="6">
        <f t="shared" si="5"/>
        <v>-1081.9674574207186</v>
      </c>
      <c r="H42" s="6">
        <f t="shared" si="6"/>
        <v>-361.15410980775306</v>
      </c>
      <c r="I42" s="6">
        <f t="shared" si="7"/>
        <v>12053.114712226896</v>
      </c>
      <c r="J42" s="6" t="str">
        <f>IF(B42&lt;&gt;"",IF(AND(Input!$H$17="Annual",MOD(B42,12)=0),Input!$J$17,IF(AND(Input!$H$17="1st Installment",B42=1),Input!$J$17,IF(Input!$H$17="Monthly",Input!$J$17,""))),"")</f>
        <v/>
      </c>
      <c r="K42" s="6" t="str">
        <f>IF(B42&lt;&gt;"",IF(AND(Input!$H$18="Annual",MOD(B42,12)=0),Input!$J$18,IF(AND(Input!$H$18="1st Installment",B42=1),Input!$J$18,IF(Input!$H$18="Monthly",Input!$J$18,""))),"")</f>
        <v/>
      </c>
      <c r="L42" s="6">
        <f>IF(B42&lt;&gt;"",IF(AND(Input!$H$19="Annual",MOD(B42,12)=0),Input!$J$19,IF(AND(Input!$H$19="1st Installment",B42=1),Input!$J$19,IF(Input!$H$19="Monthly",Input!$J$19,IF(AND(Input!$H$19="End of the loan",B42=Input!$E$22),Input!$J$19,"")))),"")</f>
        <v>0</v>
      </c>
      <c r="M42" s="6">
        <f t="shared" si="0"/>
        <v>0</v>
      </c>
      <c r="N42" s="4">
        <f t="shared" si="1"/>
        <v>361.15410980775306</v>
      </c>
      <c r="R42" s="9">
        <f t="shared" si="2"/>
        <v>46052</v>
      </c>
      <c r="S42" s="5">
        <f t="shared" si="8"/>
        <v>361.15</v>
      </c>
    </row>
    <row r="43" spans="2:20" x14ac:dyDescent="0.2">
      <c r="B43" s="16">
        <f t="shared" si="3"/>
        <v>26</v>
      </c>
      <c r="C43" s="162">
        <f t="shared" si="9"/>
        <v>46081</v>
      </c>
      <c r="D43" s="6">
        <f>IFERROR(IF(B43&lt;&gt;"",PPMT(Input!$E$18/12,B43,$C$6,Input!$E$17),"")," ")</f>
        <v>-329.01247057514803</v>
      </c>
      <c r="E43" s="6">
        <f>IFERROR(IPMT(Input!$E$18/12,B43,$C$6,Input!$E$17)," ")</f>
        <v>-32.141639232605037</v>
      </c>
      <c r="F43" s="6">
        <f t="shared" si="4"/>
        <v>-8275.8977583482556</v>
      </c>
      <c r="G43" s="6">
        <f t="shared" si="5"/>
        <v>-1114.1090966533236</v>
      </c>
      <c r="H43" s="6">
        <f t="shared" si="6"/>
        <v>-361.15410980775306</v>
      </c>
      <c r="I43" s="6">
        <f t="shared" si="7"/>
        <v>11724.102241651748</v>
      </c>
      <c r="J43" s="6" t="str">
        <f>IF(B43&lt;&gt;"",IF(AND(Input!$H$17="Annual",MOD(B43,12)=0),Input!$J$17,IF(AND(Input!$H$17="1st Installment",B43=1),Input!$J$17,IF(Input!$H$17="Monthly",Input!$J$17,""))),"")</f>
        <v/>
      </c>
      <c r="K43" s="6" t="str">
        <f>IF(B43&lt;&gt;"",IF(AND(Input!$H$18="Annual",MOD(B43,12)=0),Input!$J$18,IF(AND(Input!$H$18="1st Installment",B43=1),Input!$J$18,IF(Input!$H$18="Monthly",Input!$J$18,""))),"")</f>
        <v/>
      </c>
      <c r="L43" s="6">
        <f>IF(B43&lt;&gt;"",IF(AND(Input!$H$19="Annual",MOD(B43,12)=0),Input!$J$19,IF(AND(Input!$H$19="1st Installment",B43=1),Input!$J$19,IF(Input!$H$19="Monthly",Input!$J$19,IF(AND(Input!$H$19="End of the loan",B43=Input!$E$22),Input!$J$19,"")))),"")</f>
        <v>0</v>
      </c>
      <c r="M43" s="6">
        <f t="shared" si="0"/>
        <v>0</v>
      </c>
      <c r="N43" s="4">
        <f t="shared" si="1"/>
        <v>361.15410980775306</v>
      </c>
      <c r="R43" s="9">
        <f t="shared" si="2"/>
        <v>46081</v>
      </c>
      <c r="S43" s="5">
        <f t="shared" si="8"/>
        <v>361.15</v>
      </c>
    </row>
    <row r="44" spans="2:20" x14ac:dyDescent="0.2">
      <c r="B44" s="16">
        <f t="shared" si="3"/>
        <v>27</v>
      </c>
      <c r="C44" s="162">
        <f t="shared" si="9"/>
        <v>46111</v>
      </c>
      <c r="D44" s="6">
        <f>IFERROR(IF(B44&lt;&gt;"",PPMT(Input!$E$18/12,B44,$C$6,Input!$E$17),"")," ")</f>
        <v>-329.88983716334837</v>
      </c>
      <c r="E44" s="6">
        <f>IFERROR(IPMT(Input!$E$18/12,B44,$C$6,Input!$E$17)," ")</f>
        <v>-31.264272644404642</v>
      </c>
      <c r="F44" s="6">
        <f t="shared" si="4"/>
        <v>-8605.7875955116033</v>
      </c>
      <c r="G44" s="6">
        <f t="shared" si="5"/>
        <v>-1145.3733692977282</v>
      </c>
      <c r="H44" s="6">
        <f t="shared" si="6"/>
        <v>-361.154109807753</v>
      </c>
      <c r="I44" s="6">
        <f t="shared" si="7"/>
        <v>11394.2124044884</v>
      </c>
      <c r="J44" s="6" t="str">
        <f>IF(B44&lt;&gt;"",IF(AND(Input!$H$17="Annual",MOD(B44,12)=0),Input!$J$17,IF(AND(Input!$H$17="1st Installment",B44=1),Input!$J$17,IF(Input!$H$17="Monthly",Input!$J$17,""))),"")</f>
        <v/>
      </c>
      <c r="K44" s="6" t="str">
        <f>IF(B44&lt;&gt;"",IF(AND(Input!$H$18="Annual",MOD(B44,12)=0),Input!$J$18,IF(AND(Input!$H$18="1st Installment",B44=1),Input!$J$18,IF(Input!$H$18="Monthly",Input!$J$18,""))),"")</f>
        <v/>
      </c>
      <c r="L44" s="6">
        <f>IF(B44&lt;&gt;"",IF(AND(Input!$H$19="Annual",MOD(B44,12)=0),Input!$J$19,IF(AND(Input!$H$19="1st Installment",B44=1),Input!$J$19,IF(Input!$H$19="Monthly",Input!$J$19,IF(AND(Input!$H$19="End of the loan",B44=Input!$E$22),Input!$J$19,"")))),"")</f>
        <v>0</v>
      </c>
      <c r="M44" s="6">
        <f t="shared" si="0"/>
        <v>0</v>
      </c>
      <c r="N44" s="4">
        <f t="shared" si="1"/>
        <v>361.154109807753</v>
      </c>
      <c r="Q44" s="76"/>
      <c r="R44" s="9">
        <f t="shared" si="2"/>
        <v>46111</v>
      </c>
      <c r="S44" s="5">
        <f t="shared" si="8"/>
        <v>361.15</v>
      </c>
    </row>
    <row r="45" spans="2:20" x14ac:dyDescent="0.2">
      <c r="B45" s="16">
        <f t="shared" si="3"/>
        <v>28</v>
      </c>
      <c r="C45" s="162">
        <f t="shared" si="9"/>
        <v>46142</v>
      </c>
      <c r="D45" s="6">
        <f>IFERROR(IF(B45&lt;&gt;"",PPMT(Input!$E$18/12,B45,$C$6,Input!$E$17),"")," ")</f>
        <v>-330.76954339578401</v>
      </c>
      <c r="E45" s="6">
        <f>IFERROR(IPMT(Input!$E$18/12,B45,$C$6,Input!$E$17)," ")</f>
        <v>-30.38456641196905</v>
      </c>
      <c r="F45" s="6">
        <f t="shared" si="4"/>
        <v>-8936.5571389073866</v>
      </c>
      <c r="G45" s="6">
        <f t="shared" si="5"/>
        <v>-1175.7579357096972</v>
      </c>
      <c r="H45" s="6">
        <f t="shared" si="6"/>
        <v>-361.15410980775306</v>
      </c>
      <c r="I45" s="6">
        <f t="shared" si="7"/>
        <v>11063.442861092617</v>
      </c>
      <c r="J45" s="6" t="str">
        <f>IF(B45&lt;&gt;"",IF(AND(Input!$H$17="Annual",MOD(B45,12)=0),Input!$J$17,IF(AND(Input!$H$17="1st Installment",B45=1),Input!$J$17,IF(Input!$H$17="Monthly",Input!$J$17,""))),"")</f>
        <v/>
      </c>
      <c r="K45" s="6" t="str">
        <f>IF(B45&lt;&gt;"",IF(AND(Input!$H$18="Annual",MOD(B45,12)=0),Input!$J$18,IF(AND(Input!$H$18="1st Installment",B45=1),Input!$J$18,IF(Input!$H$18="Monthly",Input!$J$18,""))),"")</f>
        <v/>
      </c>
      <c r="L45" s="6">
        <f>IF(B45&lt;&gt;"",IF(AND(Input!$H$19="Annual",MOD(B45,12)=0),Input!$J$19,IF(AND(Input!$H$19="1st Installment",B45=1),Input!$J$19,IF(Input!$H$19="Monthly",Input!$J$19,IF(AND(Input!$H$19="End of the loan",B45=Input!$E$22),Input!$J$19,"")))),"")</f>
        <v>0</v>
      </c>
      <c r="M45" s="6">
        <f t="shared" si="0"/>
        <v>0</v>
      </c>
      <c r="N45" s="4">
        <f t="shared" si="1"/>
        <v>361.15410980775306</v>
      </c>
      <c r="R45" s="9">
        <f t="shared" si="2"/>
        <v>46142</v>
      </c>
      <c r="S45" s="5">
        <f t="shared" si="8"/>
        <v>361.15</v>
      </c>
    </row>
    <row r="46" spans="2:20" x14ac:dyDescent="0.2">
      <c r="B46" s="16">
        <f t="shared" si="3"/>
        <v>29</v>
      </c>
      <c r="C46" s="162">
        <f t="shared" si="9"/>
        <v>46172</v>
      </c>
      <c r="D46" s="6">
        <f>IFERROR(IF(B46&lt;&gt;"",PPMT(Input!$E$18/12,B46,$C$6,Input!$E$17),"")," ")</f>
        <v>-331.65159551150612</v>
      </c>
      <c r="E46" s="6">
        <f>IFERROR(IPMT(Input!$E$18/12,B46,$C$6,Input!$E$17)," ")</f>
        <v>-29.502514296246964</v>
      </c>
      <c r="F46" s="6">
        <f t="shared" si="4"/>
        <v>-9268.2087344188931</v>
      </c>
      <c r="G46" s="6">
        <f t="shared" si="5"/>
        <v>-1205.2604500059442</v>
      </c>
      <c r="H46" s="6">
        <f t="shared" si="6"/>
        <v>-361.15410980775306</v>
      </c>
      <c r="I46" s="6">
        <f t="shared" si="7"/>
        <v>10731.791265581111</v>
      </c>
      <c r="J46" s="6" t="str">
        <f>IF(B46&lt;&gt;"",IF(AND(Input!$H$17="Annual",MOD(B46,12)=0),Input!$J$17,IF(AND(Input!$H$17="1st Installment",B46=1),Input!$J$17,IF(Input!$H$17="Monthly",Input!$J$17,""))),"")</f>
        <v/>
      </c>
      <c r="K46" s="6" t="str">
        <f>IF(B46&lt;&gt;"",IF(AND(Input!$H$18="Annual",MOD(B46,12)=0),Input!$J$18,IF(AND(Input!$H$18="1st Installment",B46=1),Input!$J$18,IF(Input!$H$18="Monthly",Input!$J$18,""))),"")</f>
        <v/>
      </c>
      <c r="L46" s="6">
        <f>IF(B46&lt;&gt;"",IF(AND(Input!$H$19="Annual",MOD(B46,12)=0),Input!$J$19,IF(AND(Input!$H$19="1st Installment",B46=1),Input!$J$19,IF(Input!$H$19="Monthly",Input!$J$19,IF(AND(Input!$H$19="End of the loan",B46=Input!$E$22),Input!$J$19,"")))),"")</f>
        <v>0</v>
      </c>
      <c r="M46" s="6">
        <f t="shared" si="0"/>
        <v>0</v>
      </c>
      <c r="N46" s="4">
        <f t="shared" si="1"/>
        <v>361.15410980775306</v>
      </c>
      <c r="R46" s="9">
        <f t="shared" si="2"/>
        <v>46172</v>
      </c>
      <c r="S46" s="5">
        <f t="shared" si="8"/>
        <v>361.15</v>
      </c>
    </row>
    <row r="47" spans="2:20" x14ac:dyDescent="0.2">
      <c r="B47" s="16">
        <f t="shared" si="3"/>
        <v>30</v>
      </c>
      <c r="C47" s="162">
        <f t="shared" si="9"/>
        <v>46203</v>
      </c>
      <c r="D47" s="6">
        <f>IFERROR(IF(B47&lt;&gt;"",PPMT(Input!$E$18/12,B47,$C$6,Input!$E$17),"")," ")</f>
        <v>-332.53599976620347</v>
      </c>
      <c r="E47" s="6">
        <f>IFERROR(IPMT(Input!$E$18/12,B47,$C$6,Input!$E$17)," ")</f>
        <v>-28.618110041549606</v>
      </c>
      <c r="F47" s="6">
        <f t="shared" si="4"/>
        <v>-9600.7447341850966</v>
      </c>
      <c r="G47" s="6">
        <f t="shared" si="5"/>
        <v>-1233.8785600474939</v>
      </c>
      <c r="H47" s="6">
        <f t="shared" si="6"/>
        <v>-361.15410980775306</v>
      </c>
      <c r="I47" s="6">
        <f t="shared" si="7"/>
        <v>10399.255265814907</v>
      </c>
      <c r="J47" s="6" t="str">
        <f>IF(B47&lt;&gt;"",IF(AND(Input!$H$17="Annual",MOD(B47,12)=0),Input!$J$17,IF(AND(Input!$H$17="1st Installment",B47=1),Input!$J$17,IF(Input!$H$17="Monthly",Input!$J$17,""))),"")</f>
        <v/>
      </c>
      <c r="K47" s="6" t="str">
        <f>IF(B47&lt;&gt;"",IF(AND(Input!$H$18="Annual",MOD(B47,12)=0),Input!$J$18,IF(AND(Input!$H$18="1st Installment",B47=1),Input!$J$18,IF(Input!$H$18="Monthly",Input!$J$18,""))),"")</f>
        <v/>
      </c>
      <c r="L47" s="6">
        <f>IF(B47&lt;&gt;"",IF(AND(Input!$H$19="Annual",MOD(B47,12)=0),Input!$J$19,IF(AND(Input!$H$19="1st Installment",B47=1),Input!$J$19,IF(Input!$H$19="Monthly",Input!$J$19,IF(AND(Input!$H$19="End of the loan",B47=Input!$E$22),Input!$J$19,"")))),"")</f>
        <v>0</v>
      </c>
      <c r="M47" s="6">
        <f t="shared" si="0"/>
        <v>0</v>
      </c>
      <c r="N47" s="4">
        <f t="shared" si="1"/>
        <v>361.15410980775306</v>
      </c>
      <c r="R47" s="9">
        <f t="shared" si="2"/>
        <v>46203</v>
      </c>
      <c r="S47" s="5">
        <f t="shared" si="8"/>
        <v>361.15</v>
      </c>
    </row>
    <row r="48" spans="2:20" x14ac:dyDescent="0.2">
      <c r="B48" s="16">
        <f t="shared" si="3"/>
        <v>31</v>
      </c>
      <c r="C48" s="162">
        <f t="shared" si="9"/>
        <v>46233</v>
      </c>
      <c r="D48" s="6">
        <f>IFERROR(IF(B48&lt;&gt;"",PPMT(Input!$E$18/12,B48,$C$6,Input!$E$17),"")," ")</f>
        <v>-333.42276243224671</v>
      </c>
      <c r="E48" s="6">
        <f>IFERROR(IPMT(Input!$E$18/12,B48,$C$6,Input!$E$17)," ")</f>
        <v>-27.731347375506399</v>
      </c>
      <c r="F48" s="6">
        <f t="shared" si="4"/>
        <v>-9934.1674966173432</v>
      </c>
      <c r="G48" s="6">
        <f t="shared" si="5"/>
        <v>-1261.6099074230003</v>
      </c>
      <c r="H48" s="6">
        <f t="shared" si="6"/>
        <v>-361.15410980775312</v>
      </c>
      <c r="I48" s="6">
        <f t="shared" si="7"/>
        <v>10065.83250338266</v>
      </c>
      <c r="J48" s="6" t="str">
        <f>IF(B48&lt;&gt;"",IF(AND(Input!$H$17="Annual",MOD(B48,12)=0),Input!$J$17,IF(AND(Input!$H$17="1st Installment",B48=1),Input!$J$17,IF(Input!$H$17="Monthly",Input!$J$17,""))),"")</f>
        <v/>
      </c>
      <c r="K48" s="6" t="str">
        <f>IF(B48&lt;&gt;"",IF(AND(Input!$H$18="Annual",MOD(B48,12)=0),Input!$J$18,IF(AND(Input!$H$18="1st Installment",B48=1),Input!$J$18,IF(Input!$H$18="Monthly",Input!$J$18,""))),"")</f>
        <v/>
      </c>
      <c r="L48" s="6">
        <f>IF(B48&lt;&gt;"",IF(AND(Input!$H$19="Annual",MOD(B48,12)=0),Input!$J$19,IF(AND(Input!$H$19="1st Installment",B48=1),Input!$J$19,IF(Input!$H$19="Monthly",Input!$J$19,IF(AND(Input!$H$19="End of the loan",B48=Input!$E$22),Input!$J$19,"")))),"")</f>
        <v>0</v>
      </c>
      <c r="M48" s="6">
        <f t="shared" si="0"/>
        <v>0</v>
      </c>
      <c r="N48" s="4">
        <f t="shared" si="1"/>
        <v>361.15410980775312</v>
      </c>
      <c r="R48" s="9">
        <f t="shared" si="2"/>
        <v>46233</v>
      </c>
      <c r="S48" s="5">
        <f t="shared" si="8"/>
        <v>361.15</v>
      </c>
    </row>
    <row r="49" spans="2:19" x14ac:dyDescent="0.2">
      <c r="B49" s="16">
        <f t="shared" si="3"/>
        <v>32</v>
      </c>
      <c r="C49" s="162">
        <f t="shared" si="9"/>
        <v>46264</v>
      </c>
      <c r="D49" s="6">
        <f>IFERROR(IF(B49&lt;&gt;"",PPMT(Input!$E$18/12,B49,$C$6,Input!$E$17),"")," ")</f>
        <v>-334.31188979873264</v>
      </c>
      <c r="E49" s="6">
        <f>IFERROR(IPMT(Input!$E$18/12,B49,$C$6,Input!$E$17)," ")</f>
        <v>-26.842220009020412</v>
      </c>
      <c r="F49" s="6">
        <f t="shared" si="4"/>
        <v>-10268.479386416077</v>
      </c>
      <c r="G49" s="6">
        <f t="shared" si="5"/>
        <v>-1288.4521274320207</v>
      </c>
      <c r="H49" s="6">
        <f t="shared" si="6"/>
        <v>-361.15410980775306</v>
      </c>
      <c r="I49" s="6">
        <f t="shared" si="7"/>
        <v>9731.5206135839271</v>
      </c>
      <c r="J49" s="6" t="str">
        <f>IF(B49&lt;&gt;"",IF(AND(Input!$H$17="Annual",MOD(B49,12)=0),Input!$J$17,IF(AND(Input!$H$17="1st Installment",B49=1),Input!$J$17,IF(Input!$H$17="Monthly",Input!$J$17,""))),"")</f>
        <v/>
      </c>
      <c r="K49" s="6" t="str">
        <f>IF(B49&lt;&gt;"",IF(AND(Input!$H$18="Annual",MOD(B49,12)=0),Input!$J$18,IF(AND(Input!$H$18="1st Installment",B49=1),Input!$J$18,IF(Input!$H$18="Monthly",Input!$J$18,""))),"")</f>
        <v/>
      </c>
      <c r="L49" s="6">
        <f>IF(B49&lt;&gt;"",IF(AND(Input!$H$19="Annual",MOD(B49,12)=0),Input!$J$19,IF(AND(Input!$H$19="1st Installment",B49=1),Input!$J$19,IF(Input!$H$19="Monthly",Input!$J$19,IF(AND(Input!$H$19="End of the loan",B49=Input!$E$22),Input!$J$19,"")))),"")</f>
        <v>0</v>
      </c>
      <c r="M49" s="6">
        <f t="shared" ref="M49:M77" si="10">IF(B49&lt;&gt;"",SUM(J49:L49),"")</f>
        <v>0</v>
      </c>
      <c r="N49" s="4">
        <f t="shared" ref="N49:N77" si="11">IF(B49&lt;&gt;"",(-H49+M49),"")</f>
        <v>361.15410980775306</v>
      </c>
      <c r="R49" s="9">
        <f t="shared" si="2"/>
        <v>46264</v>
      </c>
      <c r="S49" s="5">
        <f t="shared" si="8"/>
        <v>361.15</v>
      </c>
    </row>
    <row r="50" spans="2:19" x14ac:dyDescent="0.2">
      <c r="B50" s="16">
        <f t="shared" si="3"/>
        <v>33</v>
      </c>
      <c r="C50" s="162">
        <f t="shared" si="9"/>
        <v>46295</v>
      </c>
      <c r="D50" s="6">
        <f>IFERROR(IF(B50&lt;&gt;"",PPMT(Input!$E$18/12,B50,$C$6,Input!$E$17),"")," ")</f>
        <v>-335.2033881715293</v>
      </c>
      <c r="E50" s="6">
        <f>IFERROR(IPMT(Input!$E$18/12,B50,$C$6,Input!$E$17)," ")</f>
        <v>-25.950721636223786</v>
      </c>
      <c r="F50" s="6">
        <f t="shared" si="4"/>
        <v>-10603.682774587605</v>
      </c>
      <c r="G50" s="6">
        <f t="shared" si="5"/>
        <v>-1314.4028490682444</v>
      </c>
      <c r="H50" s="6">
        <f t="shared" si="6"/>
        <v>-361.15410980775306</v>
      </c>
      <c r="I50" s="6">
        <f t="shared" si="7"/>
        <v>9396.3172254123983</v>
      </c>
      <c r="J50" s="6" t="str">
        <f>IF(B50&lt;&gt;"",IF(AND(Input!$H$17="Annual",MOD(B50,12)=0),Input!$J$17,IF(AND(Input!$H$17="1st Installment",B50=1),Input!$J$17,IF(Input!$H$17="Monthly",Input!$J$17,""))),"")</f>
        <v/>
      </c>
      <c r="K50" s="6" t="str">
        <f>IF(B50&lt;&gt;"",IF(AND(Input!$H$18="Annual",MOD(B50,12)=0),Input!$J$18,IF(AND(Input!$H$18="1st Installment",B50=1),Input!$J$18,IF(Input!$H$18="Monthly",Input!$J$18,""))),"")</f>
        <v/>
      </c>
      <c r="L50" s="6">
        <f>IF(B50&lt;&gt;"",IF(AND(Input!$H$19="Annual",MOD(B50,12)=0),Input!$J$19,IF(AND(Input!$H$19="1st Installment",B50=1),Input!$J$19,IF(Input!$H$19="Monthly",Input!$J$19,IF(AND(Input!$H$19="End of the loan",B50=Input!$E$22),Input!$J$19,"")))),"")</f>
        <v>0</v>
      </c>
      <c r="M50" s="6">
        <f t="shared" si="10"/>
        <v>0</v>
      </c>
      <c r="N50" s="4">
        <f t="shared" si="11"/>
        <v>361.15410980775306</v>
      </c>
      <c r="R50" s="9">
        <f t="shared" si="2"/>
        <v>46295</v>
      </c>
      <c r="S50" s="5">
        <f t="shared" si="8"/>
        <v>361.15</v>
      </c>
    </row>
    <row r="51" spans="2:19" x14ac:dyDescent="0.2">
      <c r="B51" s="16">
        <f t="shared" si="3"/>
        <v>34</v>
      </c>
      <c r="C51" s="162">
        <f t="shared" si="9"/>
        <v>46325</v>
      </c>
      <c r="D51" s="6">
        <f>IFERROR(IF(B51&lt;&gt;"",PPMT(Input!$E$18/12,B51,$C$6,Input!$E$17),"")," ")</f>
        <v>-336.09726387332</v>
      </c>
      <c r="E51" s="6">
        <f>IFERROR(IPMT(Input!$E$18/12,B51,$C$6,Input!$E$17)," ")</f>
        <v>-25.056845934433046</v>
      </c>
      <c r="F51" s="6">
        <f t="shared" ref="F51:F77" si="12">IF(B51&lt;&gt;"",F50+D51,"")</f>
        <v>-10939.780038460925</v>
      </c>
      <c r="G51" s="6">
        <f t="shared" ref="G51:G77" si="13">IF(B51&lt;&gt;"",G50+E51,"")</f>
        <v>-1339.4596950026776</v>
      </c>
      <c r="H51" s="6">
        <f t="shared" si="6"/>
        <v>-361.15410980775306</v>
      </c>
      <c r="I51" s="6">
        <f t="shared" ref="I51:I77" si="14">IF(B51&lt;&gt;"",I50+D51,"")</f>
        <v>9060.2199615390782</v>
      </c>
      <c r="J51" s="6" t="str">
        <f>IF(B51&lt;&gt;"",IF(AND(Input!$H$17="Annual",MOD(B51,12)=0),Input!$J$17,IF(AND(Input!$H$17="1st Installment",B51=1),Input!$J$17,IF(Input!$H$17="Monthly",Input!$J$17,""))),"")</f>
        <v/>
      </c>
      <c r="K51" s="6" t="str">
        <f>IF(B51&lt;&gt;"",IF(AND(Input!$H$18="Annual",MOD(B51,12)=0),Input!$J$18,IF(AND(Input!$H$18="1st Installment",B51=1),Input!$J$18,IF(Input!$H$18="Monthly",Input!$J$18,""))),"")</f>
        <v/>
      </c>
      <c r="L51" s="6">
        <f>IF(B51&lt;&gt;"",IF(AND(Input!$H$19="Annual",MOD(B51,12)=0),Input!$J$19,IF(AND(Input!$H$19="1st Installment",B51=1),Input!$J$19,IF(Input!$H$19="Monthly",Input!$J$19,IF(AND(Input!$H$19="End of the loan",B51=Input!$E$22),Input!$J$19,"")))),"")</f>
        <v>0</v>
      </c>
      <c r="M51" s="6">
        <f t="shared" si="10"/>
        <v>0</v>
      </c>
      <c r="N51" s="4">
        <f t="shared" si="11"/>
        <v>361.15410980775306</v>
      </c>
      <c r="R51" s="9">
        <f t="shared" si="2"/>
        <v>46325</v>
      </c>
      <c r="S51" s="5">
        <f t="shared" si="8"/>
        <v>361.15</v>
      </c>
    </row>
    <row r="52" spans="2:19" ht="12" customHeight="1" x14ac:dyDescent="0.2">
      <c r="B52" s="16">
        <f t="shared" si="3"/>
        <v>35</v>
      </c>
      <c r="C52" s="162">
        <f t="shared" si="9"/>
        <v>46356</v>
      </c>
      <c r="D52" s="6">
        <f>IFERROR(IF(B52&lt;&gt;"",PPMT(Input!$E$18/12,B52,$C$6,Input!$E$17),"")," ")</f>
        <v>-336.99352324364889</v>
      </c>
      <c r="E52" s="6">
        <f>IFERROR(IPMT(Input!$E$18/12,B52,$C$6,Input!$E$17)," ")</f>
        <v>-24.160586564104189</v>
      </c>
      <c r="F52" s="6">
        <f t="shared" si="12"/>
        <v>-11276.773561704575</v>
      </c>
      <c r="G52" s="6">
        <f t="shared" si="13"/>
        <v>-1363.6202815667818</v>
      </c>
      <c r="H52" s="6">
        <f t="shared" si="6"/>
        <v>-361.15410980775306</v>
      </c>
      <c r="I52" s="6">
        <f t="shared" si="14"/>
        <v>8723.226438295429</v>
      </c>
      <c r="J52" s="6" t="str">
        <f>IF(B52&lt;&gt;"",IF(AND(Input!$H$17="Annual",MOD(B52,12)=0),Input!$J$17,IF(AND(Input!$H$17="1st Installment",B52=1),Input!$J$17,IF(Input!$H$17="Monthly",Input!$J$17,""))),"")</f>
        <v/>
      </c>
      <c r="K52" s="6" t="str">
        <f>IF(B52&lt;&gt;"",IF(AND(Input!$H$18="Annual",MOD(B52,12)=0),Input!$J$18,IF(AND(Input!$H$18="1st Installment",B52=1),Input!$J$18,IF(Input!$H$18="Monthly",Input!$J$18,""))),"")</f>
        <v/>
      </c>
      <c r="L52" s="6">
        <f>IF(B52&lt;&gt;"",IF(AND(Input!$H$19="Annual",MOD(B52,12)=0),Input!$J$19,IF(AND(Input!$H$19="1st Installment",B52=1),Input!$J$19,IF(Input!$H$19="Monthly",Input!$J$19,IF(AND(Input!$H$19="End of the loan",B52=Input!$E$22),Input!$J$19,"")))),"")</f>
        <v>0</v>
      </c>
      <c r="M52" s="6">
        <f t="shared" si="10"/>
        <v>0</v>
      </c>
      <c r="N52" s="4">
        <f t="shared" si="11"/>
        <v>361.15410980775306</v>
      </c>
      <c r="R52" s="9">
        <f t="shared" si="2"/>
        <v>46356</v>
      </c>
      <c r="S52" s="5">
        <f t="shared" si="8"/>
        <v>361.15</v>
      </c>
    </row>
    <row r="53" spans="2:19" x14ac:dyDescent="0.2">
      <c r="B53" s="16">
        <f t="shared" si="3"/>
        <v>36</v>
      </c>
      <c r="C53" s="162">
        <f t="shared" si="9"/>
        <v>46386</v>
      </c>
      <c r="D53" s="6">
        <f>IFERROR(IF(B53&lt;&gt;"",PPMT(Input!$E$18/12,B53,$C$6,Input!$E$17),"")," ")</f>
        <v>-337.89217263896529</v>
      </c>
      <c r="E53" s="6">
        <f>IFERROR(IPMT(Input!$E$18/12,B53,$C$6,Input!$E$17)," ")</f>
        <v>-23.261937168787796</v>
      </c>
      <c r="F53" s="6">
        <f t="shared" si="12"/>
        <v>-11614.66573434354</v>
      </c>
      <c r="G53" s="6">
        <f t="shared" si="13"/>
        <v>-1386.8822187355697</v>
      </c>
      <c r="H53" s="6">
        <f t="shared" si="6"/>
        <v>-361.15410980775312</v>
      </c>
      <c r="I53" s="6">
        <f t="shared" si="14"/>
        <v>8385.3342656564637</v>
      </c>
      <c r="J53" s="6" t="str">
        <f>IF(B53&lt;&gt;"",IF(AND(Input!$H$17="Annual",MOD(B53,12)=0),Input!$J$17,IF(AND(Input!$H$17="1st Installment",B53=1),Input!$J$17,IF(Input!$H$17="Monthly",Input!$J$17,""))),"")</f>
        <v/>
      </c>
      <c r="K53" s="6">
        <f>IF(B53&lt;&gt;"",IF(AND(Input!$H$18="Annual",MOD(B53,12)=0),Input!$J$18,IF(AND(Input!$H$18="1st Installment",B53=1),Input!$J$18,IF(Input!$H$18="Monthly",Input!$J$18,""))),"")</f>
        <v>0</v>
      </c>
      <c r="L53" s="6">
        <f>IF(B53&lt;&gt;"",IF(AND(Input!$H$19="Annual",MOD(B53,12)=0),Input!$J$19,IF(AND(Input!$H$19="1st Installment",B53=1),Input!$J$19,IF(Input!$H$19="Monthly",Input!$J$19,IF(AND(Input!$H$19="End of the loan",B53=Input!$E$22),Input!$J$19,"")))),"")</f>
        <v>0</v>
      </c>
      <c r="M53" s="6">
        <f t="shared" si="10"/>
        <v>0</v>
      </c>
      <c r="N53" s="4">
        <f t="shared" si="11"/>
        <v>361.15410980775312</v>
      </c>
      <c r="R53" s="9">
        <f t="shared" si="2"/>
        <v>46386</v>
      </c>
      <c r="S53" s="5">
        <f t="shared" si="8"/>
        <v>361.15</v>
      </c>
    </row>
    <row r="54" spans="2:19" x14ac:dyDescent="0.2">
      <c r="B54" s="16">
        <f t="shared" si="3"/>
        <v>37</v>
      </c>
      <c r="C54" s="162">
        <f t="shared" si="9"/>
        <v>46417</v>
      </c>
      <c r="D54" s="6">
        <f>IFERROR(IF(B54&lt;&gt;"",PPMT(Input!$E$18/12,B54,$C$6,Input!$E$17),"")," ")</f>
        <v>-338.79321843266916</v>
      </c>
      <c r="E54" s="6">
        <f>IFERROR(IPMT(Input!$E$18/12,B54,$C$6,Input!$E$17)," ")</f>
        <v>-22.360891375083892</v>
      </c>
      <c r="F54" s="6">
        <f t="shared" si="12"/>
        <v>-11953.458952776209</v>
      </c>
      <c r="G54" s="6">
        <f t="shared" si="13"/>
        <v>-1409.2431101106536</v>
      </c>
      <c r="H54" s="6">
        <f t="shared" si="6"/>
        <v>-361.15410980775306</v>
      </c>
      <c r="I54" s="6">
        <f t="shared" si="14"/>
        <v>8046.5410472237945</v>
      </c>
      <c r="J54" s="6" t="str">
        <f>IF(B54&lt;&gt;"",IF(AND(Input!$H$17="Annual",MOD(B54,12)=0),Input!$J$17,IF(AND(Input!$H$17="1st Installment",B54=1),Input!$J$17,IF(Input!$H$17="Monthly",Input!$J$17,""))),"")</f>
        <v/>
      </c>
      <c r="K54" s="6" t="str">
        <f>IF(B54&lt;&gt;"",IF(AND(Input!$H$18="Annual",MOD(B54,12)=0),Input!$J$18,IF(AND(Input!$H$18="1st Installment",B54=1),Input!$J$18,IF(Input!$H$18="Monthly",Input!$J$18,""))),"")</f>
        <v/>
      </c>
      <c r="L54" s="6">
        <f>IF(B54&lt;&gt;"",IF(AND(Input!$H$19="Annual",MOD(B54,12)=0),Input!$J$19,IF(AND(Input!$H$19="1st Installment",B54=1),Input!$J$19,IF(Input!$H$19="Monthly",Input!$J$19,IF(AND(Input!$H$19="End of the loan",B54=Input!$E$22),Input!$J$19,"")))),"")</f>
        <v>0</v>
      </c>
      <c r="M54" s="6">
        <f t="shared" si="10"/>
        <v>0</v>
      </c>
      <c r="N54" s="4">
        <f t="shared" si="11"/>
        <v>361.15410980775306</v>
      </c>
      <c r="R54" s="9">
        <f t="shared" si="2"/>
        <v>46417</v>
      </c>
      <c r="S54" s="5">
        <f t="shared" si="8"/>
        <v>361.15</v>
      </c>
    </row>
    <row r="55" spans="2:19" x14ac:dyDescent="0.2">
      <c r="B55" s="16">
        <f t="shared" si="3"/>
        <v>38</v>
      </c>
      <c r="C55" s="162">
        <f t="shared" si="9"/>
        <v>46446</v>
      </c>
      <c r="D55" s="6">
        <f>IFERROR(IF(B55&lt;&gt;"",PPMT(Input!$E$18/12,B55,$C$6,Input!$E$17),"")," ")</f>
        <v>-339.69666701515632</v>
      </c>
      <c r="E55" s="6">
        <f>IFERROR(IPMT(Input!$E$18/12,B55,$C$6,Input!$E$17)," ")</f>
        <v>-21.457442792596769</v>
      </c>
      <c r="F55" s="6">
        <f t="shared" si="12"/>
        <v>-12293.155619791365</v>
      </c>
      <c r="G55" s="6">
        <f t="shared" si="13"/>
        <v>-1430.7005529032504</v>
      </c>
      <c r="H55" s="6">
        <f t="shared" si="6"/>
        <v>-361.15410980775312</v>
      </c>
      <c r="I55" s="6">
        <f t="shared" si="14"/>
        <v>7706.8443802086385</v>
      </c>
      <c r="J55" s="6" t="str">
        <f>IF(B55&lt;&gt;"",IF(AND(Input!$H$17="Annual",MOD(B55,12)=0),Input!$J$17,IF(AND(Input!$H$17="1st Installment",B55=1),Input!$J$17,IF(Input!$H$17="Monthly",Input!$J$17,""))),"")</f>
        <v/>
      </c>
      <c r="K55" s="6" t="str">
        <f>IF(B55&lt;&gt;"",IF(AND(Input!$H$18="Annual",MOD(B55,12)=0),Input!$J$18,IF(AND(Input!$H$18="1st Installment",B55=1),Input!$J$18,IF(Input!$H$18="Monthly",Input!$J$18,""))),"")</f>
        <v/>
      </c>
      <c r="L55" s="6">
        <f>IF(B55&lt;&gt;"",IF(AND(Input!$H$19="Annual",MOD(B55,12)=0),Input!$J$19,IF(AND(Input!$H$19="1st Installment",B55=1),Input!$J$19,IF(Input!$H$19="Monthly",Input!$J$19,IF(AND(Input!$H$19="End of the loan",B55=Input!$E$22),Input!$J$19,"")))),"")</f>
        <v>0</v>
      </c>
      <c r="M55" s="6">
        <f t="shared" si="10"/>
        <v>0</v>
      </c>
      <c r="N55" s="4">
        <f t="shared" si="11"/>
        <v>361.15410980775312</v>
      </c>
      <c r="R55" s="9">
        <f t="shared" si="2"/>
        <v>46446</v>
      </c>
      <c r="S55" s="5">
        <f t="shared" si="8"/>
        <v>361.15</v>
      </c>
    </row>
    <row r="56" spans="2:19" x14ac:dyDescent="0.2">
      <c r="B56" s="16">
        <f t="shared" si="3"/>
        <v>39</v>
      </c>
      <c r="C56" s="162">
        <f t="shared" si="9"/>
        <v>46476</v>
      </c>
      <c r="D56" s="6">
        <f>IFERROR(IF(B56&lt;&gt;"",PPMT(Input!$E$18/12,B56,$C$6,Input!$E$17),"")," ")</f>
        <v>-340.60252479386338</v>
      </c>
      <c r="E56" s="6">
        <f>IFERROR(IPMT(Input!$E$18/12,B56,$C$6,Input!$E$17)," ")</f>
        <v>-20.551585013889689</v>
      </c>
      <c r="F56" s="6">
        <f t="shared" si="12"/>
        <v>-12633.758144585228</v>
      </c>
      <c r="G56" s="6">
        <f t="shared" si="13"/>
        <v>-1451.2521379171401</v>
      </c>
      <c r="H56" s="6">
        <f t="shared" si="6"/>
        <v>-361.15410980775306</v>
      </c>
      <c r="I56" s="6">
        <f t="shared" si="14"/>
        <v>7366.2418554147753</v>
      </c>
      <c r="J56" s="6" t="str">
        <f>IF(B56&lt;&gt;"",IF(AND(Input!$H$17="Annual",MOD(B56,12)=0),Input!$J$17,IF(AND(Input!$H$17="1st Installment",B56=1),Input!$J$17,IF(Input!$H$17="Monthly",Input!$J$17,""))),"")</f>
        <v/>
      </c>
      <c r="K56" s="6" t="str">
        <f>IF(B56&lt;&gt;"",IF(AND(Input!$H$18="Annual",MOD(B56,12)=0),Input!$J$18,IF(AND(Input!$H$18="1st Installment",B56=1),Input!$J$18,IF(Input!$H$18="Monthly",Input!$J$18,""))),"")</f>
        <v/>
      </c>
      <c r="L56" s="6">
        <f>IF(B56&lt;&gt;"",IF(AND(Input!$H$19="Annual",MOD(B56,12)=0),Input!$J$19,IF(AND(Input!$H$19="1st Installment",B56=1),Input!$J$19,IF(Input!$H$19="Monthly",Input!$J$19,IF(AND(Input!$H$19="End of the loan",B56=Input!$E$22),Input!$J$19,"")))),"")</f>
        <v>0</v>
      </c>
      <c r="M56" s="6">
        <f t="shared" si="10"/>
        <v>0</v>
      </c>
      <c r="N56" s="4">
        <f t="shared" si="11"/>
        <v>361.15410980775306</v>
      </c>
      <c r="R56" s="9">
        <f t="shared" si="2"/>
        <v>46476</v>
      </c>
      <c r="S56" s="5">
        <f t="shared" si="8"/>
        <v>361.15</v>
      </c>
    </row>
    <row r="57" spans="2:19" x14ac:dyDescent="0.2">
      <c r="B57" s="16">
        <f t="shared" si="3"/>
        <v>40</v>
      </c>
      <c r="C57" s="162">
        <f t="shared" si="9"/>
        <v>46507</v>
      </c>
      <c r="D57" s="6">
        <f>IFERROR(IF(B57&lt;&gt;"",PPMT(Input!$E$18/12,B57,$C$6,Input!$E$17),"")," ")</f>
        <v>-341.51079819331369</v>
      </c>
      <c r="E57" s="6">
        <f>IFERROR(IPMT(Input!$E$18/12,B57,$C$6,Input!$E$17)," ")</f>
        <v>-19.643311614439384</v>
      </c>
      <c r="F57" s="6">
        <f t="shared" si="12"/>
        <v>-12975.268942778543</v>
      </c>
      <c r="G57" s="6">
        <f t="shared" si="13"/>
        <v>-1470.8954495315795</v>
      </c>
      <c r="H57" s="6">
        <f t="shared" si="6"/>
        <v>-361.15410980775306</v>
      </c>
      <c r="I57" s="6">
        <f t="shared" si="14"/>
        <v>7024.7310572214619</v>
      </c>
      <c r="J57" s="6" t="str">
        <f>IF(B57&lt;&gt;"",IF(AND(Input!$H$17="Annual",MOD(B57,12)=0),Input!$J$17,IF(AND(Input!$H$17="1st Installment",B57=1),Input!$J$17,IF(Input!$H$17="Monthly",Input!$J$17,""))),"")</f>
        <v/>
      </c>
      <c r="K57" s="6" t="str">
        <f>IF(B57&lt;&gt;"",IF(AND(Input!$H$18="Annual",MOD(B57,12)=0),Input!$J$18,IF(AND(Input!$H$18="1st Installment",B57=1),Input!$J$18,IF(Input!$H$18="Monthly",Input!$J$18,""))),"")</f>
        <v/>
      </c>
      <c r="L57" s="6">
        <f>IF(B57&lt;&gt;"",IF(AND(Input!$H$19="Annual",MOD(B57,12)=0),Input!$J$19,IF(AND(Input!$H$19="1st Installment",B57=1),Input!$J$19,IF(Input!$H$19="Monthly",Input!$J$19,IF(AND(Input!$H$19="End of the loan",B57=Input!$E$22),Input!$J$19,"")))),"")</f>
        <v>0</v>
      </c>
      <c r="M57" s="6">
        <f t="shared" si="10"/>
        <v>0</v>
      </c>
      <c r="N57" s="4">
        <f t="shared" si="11"/>
        <v>361.15410980775306</v>
      </c>
      <c r="R57" s="9">
        <f t="shared" si="2"/>
        <v>46507</v>
      </c>
      <c r="S57" s="5">
        <f t="shared" si="8"/>
        <v>361.15</v>
      </c>
    </row>
    <row r="58" spans="2:19" x14ac:dyDescent="0.2">
      <c r="B58" s="16">
        <f t="shared" si="3"/>
        <v>41</v>
      </c>
      <c r="C58" s="162">
        <f t="shared" si="9"/>
        <v>46537</v>
      </c>
      <c r="D58" s="6">
        <f>IFERROR(IF(B58&lt;&gt;"",PPMT(Input!$E$18/12,B58,$C$6,Input!$E$17),"")," ")</f>
        <v>-342.42149365516252</v>
      </c>
      <c r="E58" s="6">
        <f>IFERROR(IPMT(Input!$E$18/12,B58,$C$6,Input!$E$17)," ")</f>
        <v>-18.732616152590545</v>
      </c>
      <c r="F58" s="6">
        <f t="shared" si="12"/>
        <v>-13317.690436433706</v>
      </c>
      <c r="G58" s="6">
        <f t="shared" si="13"/>
        <v>-1489.62806568417</v>
      </c>
      <c r="H58" s="6">
        <f t="shared" si="6"/>
        <v>-361.15410980775306</v>
      </c>
      <c r="I58" s="6">
        <f t="shared" si="14"/>
        <v>6682.3095635662994</v>
      </c>
      <c r="J58" s="6" t="str">
        <f>IF(B58&lt;&gt;"",IF(AND(Input!$H$17="Annual",MOD(B58,12)=0),Input!$J$17,IF(AND(Input!$H$17="1st Installment",B58=1),Input!$J$17,IF(Input!$H$17="Monthly",Input!$J$17,""))),"")</f>
        <v/>
      </c>
      <c r="K58" s="6" t="str">
        <f>IF(B58&lt;&gt;"",IF(AND(Input!$H$18="Annual",MOD(B58,12)=0),Input!$J$18,IF(AND(Input!$H$18="1st Installment",B58=1),Input!$J$18,IF(Input!$H$18="Monthly",Input!$J$18,""))),"")</f>
        <v/>
      </c>
      <c r="L58" s="6">
        <f>IF(B58&lt;&gt;"",IF(AND(Input!$H$19="Annual",MOD(B58,12)=0),Input!$J$19,IF(AND(Input!$H$19="1st Installment",B58=1),Input!$J$19,IF(Input!$H$19="Monthly",Input!$J$19,IF(AND(Input!$H$19="End of the loan",B58=Input!$E$22),Input!$J$19,"")))),"")</f>
        <v>0</v>
      </c>
      <c r="M58" s="6">
        <f t="shared" si="10"/>
        <v>0</v>
      </c>
      <c r="N58" s="4">
        <f t="shared" si="11"/>
        <v>361.15410980775306</v>
      </c>
      <c r="R58" s="9">
        <f t="shared" si="2"/>
        <v>46537</v>
      </c>
      <c r="S58" s="5">
        <f t="shared" si="8"/>
        <v>361.15</v>
      </c>
    </row>
    <row r="59" spans="2:19" x14ac:dyDescent="0.2">
      <c r="B59" s="16">
        <f t="shared" si="3"/>
        <v>42</v>
      </c>
      <c r="C59" s="162">
        <f t="shared" si="9"/>
        <v>46568</v>
      </c>
      <c r="D59" s="6">
        <f>IFERROR(IF(B59&lt;&gt;"",PPMT(Input!$E$18/12,B59,$C$6,Input!$E$17),"")," ")</f>
        <v>-343.33461763824295</v>
      </c>
      <c r="E59" s="6">
        <f>IFERROR(IPMT(Input!$E$18/12,B59,$C$6,Input!$E$17)," ")</f>
        <v>-17.819492169510113</v>
      </c>
      <c r="F59" s="6">
        <f t="shared" si="12"/>
        <v>-13661.02505407195</v>
      </c>
      <c r="G59" s="6">
        <f t="shared" si="13"/>
        <v>-1507.4475578536801</v>
      </c>
      <c r="H59" s="6">
        <f t="shared" si="6"/>
        <v>-361.15410980775306</v>
      </c>
      <c r="I59" s="6">
        <f t="shared" si="14"/>
        <v>6338.9749459280565</v>
      </c>
      <c r="J59" s="6" t="str">
        <f>IF(B59&lt;&gt;"",IF(AND(Input!$H$17="Annual",MOD(B59,12)=0),Input!$J$17,IF(AND(Input!$H$17="1st Installment",B59=1),Input!$J$17,IF(Input!$H$17="Monthly",Input!$J$17,""))),"")</f>
        <v/>
      </c>
      <c r="K59" s="6" t="str">
        <f>IF(B59&lt;&gt;"",IF(AND(Input!$H$18="Annual",MOD(B59,12)=0),Input!$J$18,IF(AND(Input!$H$18="1st Installment",B59=1),Input!$J$18,IF(Input!$H$18="Monthly",Input!$J$18,""))),"")</f>
        <v/>
      </c>
      <c r="L59" s="6">
        <f>IF(B59&lt;&gt;"",IF(AND(Input!$H$19="Annual",MOD(B59,12)=0),Input!$J$19,IF(AND(Input!$H$19="1st Installment",B59=1),Input!$J$19,IF(Input!$H$19="Monthly",Input!$J$19,IF(AND(Input!$H$19="End of the loan",B59=Input!$E$22),Input!$J$19,"")))),"")</f>
        <v>0</v>
      </c>
      <c r="M59" s="6">
        <f t="shared" si="10"/>
        <v>0</v>
      </c>
      <c r="N59" s="4">
        <f t="shared" si="11"/>
        <v>361.15410980775306</v>
      </c>
      <c r="R59" s="9">
        <f t="shared" si="2"/>
        <v>46568</v>
      </c>
      <c r="S59" s="5">
        <f t="shared" si="8"/>
        <v>361.15</v>
      </c>
    </row>
    <row r="60" spans="2:19" x14ac:dyDescent="0.2">
      <c r="B60" s="16">
        <f t="shared" si="3"/>
        <v>43</v>
      </c>
      <c r="C60" s="162">
        <f t="shared" si="9"/>
        <v>46598</v>
      </c>
      <c r="D60" s="6">
        <f>IFERROR(IF(B60&lt;&gt;"",PPMT(Input!$E$18/12,B60,$C$6,Input!$E$17),"")," ")</f>
        <v>-344.25017661861159</v>
      </c>
      <c r="E60" s="6">
        <f>IFERROR(IPMT(Input!$E$18/12,B60,$C$6,Input!$E$17)," ")</f>
        <v>-16.903933189141465</v>
      </c>
      <c r="F60" s="6">
        <f t="shared" si="12"/>
        <v>-14005.275230690562</v>
      </c>
      <c r="G60" s="6">
        <f t="shared" si="13"/>
        <v>-1524.3514910428216</v>
      </c>
      <c r="H60" s="6">
        <f t="shared" si="6"/>
        <v>-361.15410980775306</v>
      </c>
      <c r="I60" s="6">
        <f t="shared" si="14"/>
        <v>5994.724769309445</v>
      </c>
      <c r="J60" s="6" t="str">
        <f>IF(B60&lt;&gt;"",IF(AND(Input!$H$17="Annual",MOD(B60,12)=0),Input!$J$17,IF(AND(Input!$H$17="1st Installment",B60=1),Input!$J$17,IF(Input!$H$17="Monthly",Input!$J$17,""))),"")</f>
        <v/>
      </c>
      <c r="K60" s="6" t="str">
        <f>IF(B60&lt;&gt;"",IF(AND(Input!$H$18="Annual",MOD(B60,12)=0),Input!$J$18,IF(AND(Input!$H$18="1st Installment",B60=1),Input!$J$18,IF(Input!$H$18="Monthly",Input!$J$18,""))),"")</f>
        <v/>
      </c>
      <c r="L60" s="6">
        <f>IF(B60&lt;&gt;"",IF(AND(Input!$H$19="Annual",MOD(B60,12)=0),Input!$J$19,IF(AND(Input!$H$19="1st Installment",B60=1),Input!$J$19,IF(Input!$H$19="Monthly",Input!$J$19,IF(AND(Input!$H$19="End of the loan",B60=Input!$E$22),Input!$J$19,"")))),"")</f>
        <v>0</v>
      </c>
      <c r="M60" s="6">
        <f t="shared" si="10"/>
        <v>0</v>
      </c>
      <c r="N60" s="4">
        <f t="shared" si="11"/>
        <v>361.15410980775306</v>
      </c>
      <c r="R60" s="9">
        <f t="shared" si="2"/>
        <v>46598</v>
      </c>
      <c r="S60" s="5">
        <f t="shared" si="8"/>
        <v>361.15</v>
      </c>
    </row>
    <row r="61" spans="2:19" x14ac:dyDescent="0.2">
      <c r="B61" s="16">
        <f t="shared" si="3"/>
        <v>44</v>
      </c>
      <c r="C61" s="162">
        <f t="shared" si="9"/>
        <v>46629</v>
      </c>
      <c r="D61" s="6">
        <f>IFERROR(IF(B61&lt;&gt;"",PPMT(Input!$E$18/12,B61,$C$6,Input!$E$17),"")," ")</f>
        <v>-345.16817708959456</v>
      </c>
      <c r="E61" s="6">
        <f>IFERROR(IPMT(Input!$E$18/12,B61,$C$6,Input!$E$17)," ")</f>
        <v>-15.9859327181585</v>
      </c>
      <c r="F61" s="6">
        <f t="shared" si="12"/>
        <v>-14350.443407780156</v>
      </c>
      <c r="G61" s="6">
        <f t="shared" si="13"/>
        <v>-1540.3374237609801</v>
      </c>
      <c r="H61" s="6">
        <f t="shared" si="6"/>
        <v>-361.15410980775306</v>
      </c>
      <c r="I61" s="6">
        <f t="shared" si="14"/>
        <v>5649.5565922198502</v>
      </c>
      <c r="J61" s="6" t="str">
        <f>IF(B61&lt;&gt;"",IF(AND(Input!$H$17="Annual",MOD(B61,12)=0),Input!$J$17,IF(AND(Input!$H$17="1st Installment",B61=1),Input!$J$17,IF(Input!$H$17="Monthly",Input!$J$17,""))),"")</f>
        <v/>
      </c>
      <c r="K61" s="6" t="str">
        <f>IF(B61&lt;&gt;"",IF(AND(Input!$H$18="Annual",MOD(B61,12)=0),Input!$J$18,IF(AND(Input!$H$18="1st Installment",B61=1),Input!$J$18,IF(Input!$H$18="Monthly",Input!$J$18,""))),"")</f>
        <v/>
      </c>
      <c r="L61" s="6">
        <f>IF(B61&lt;&gt;"",IF(AND(Input!$H$19="Annual",MOD(B61,12)=0),Input!$J$19,IF(AND(Input!$H$19="1st Installment",B61=1),Input!$J$19,IF(Input!$H$19="Monthly",Input!$J$19,IF(AND(Input!$H$19="End of the loan",B61=Input!$E$22),Input!$J$19,"")))),"")</f>
        <v>0</v>
      </c>
      <c r="M61" s="6">
        <f t="shared" si="10"/>
        <v>0</v>
      </c>
      <c r="N61" s="4">
        <f t="shared" si="11"/>
        <v>361.15410980775306</v>
      </c>
      <c r="R61" s="9">
        <f t="shared" si="2"/>
        <v>46629</v>
      </c>
      <c r="S61" s="5">
        <f t="shared" si="8"/>
        <v>361.15</v>
      </c>
    </row>
    <row r="62" spans="2:19" x14ac:dyDescent="0.2">
      <c r="B62" s="16">
        <f t="shared" si="3"/>
        <v>45</v>
      </c>
      <c r="C62" s="162">
        <f t="shared" si="9"/>
        <v>46660</v>
      </c>
      <c r="D62" s="6">
        <f>IFERROR(IF(B62&lt;&gt;"",PPMT(Input!$E$18/12,B62,$C$6,Input!$E$17),"")," ")</f>
        <v>-346.08862556183351</v>
      </c>
      <c r="E62" s="6">
        <f>IFERROR(IPMT(Input!$E$18/12,B62,$C$6,Input!$E$17)," ")</f>
        <v>-15.065484245919583</v>
      </c>
      <c r="F62" s="6">
        <f t="shared" si="12"/>
        <v>-14696.53203334199</v>
      </c>
      <c r="G62" s="6">
        <f t="shared" si="13"/>
        <v>-1555.4029080068997</v>
      </c>
      <c r="H62" s="6">
        <f t="shared" si="6"/>
        <v>-361.15410980775312</v>
      </c>
      <c r="I62" s="6">
        <f t="shared" si="14"/>
        <v>5303.4679666580168</v>
      </c>
      <c r="J62" s="6" t="str">
        <f>IF(B62&lt;&gt;"",IF(AND(Input!$H$17="Annual",MOD(B62,12)=0),Input!$J$17,IF(AND(Input!$H$17="1st Installment",B62=1),Input!$J$17,IF(Input!$H$17="Monthly",Input!$J$17,""))),"")</f>
        <v/>
      </c>
      <c r="K62" s="6" t="str">
        <f>IF(B62&lt;&gt;"",IF(AND(Input!$H$18="Annual",MOD(B62,12)=0),Input!$J$18,IF(AND(Input!$H$18="1st Installment",B62=1),Input!$J$18,IF(Input!$H$18="Monthly",Input!$J$18,""))),"")</f>
        <v/>
      </c>
      <c r="L62" s="6">
        <f>IF(B62&lt;&gt;"",IF(AND(Input!$H$19="Annual",MOD(B62,12)=0),Input!$J$19,IF(AND(Input!$H$19="1st Installment",B62=1),Input!$J$19,IF(Input!$H$19="Monthly",Input!$J$19,IF(AND(Input!$H$19="End of the loan",B62=Input!$E$22),Input!$J$19,"")))),"")</f>
        <v>0</v>
      </c>
      <c r="M62" s="6">
        <f t="shared" si="10"/>
        <v>0</v>
      </c>
      <c r="N62" s="4">
        <f t="shared" si="11"/>
        <v>361.15410980775312</v>
      </c>
      <c r="R62" s="9">
        <f t="shared" si="2"/>
        <v>46660</v>
      </c>
      <c r="S62" s="5">
        <f t="shared" si="8"/>
        <v>361.15</v>
      </c>
    </row>
    <row r="63" spans="2:19" x14ac:dyDescent="0.2">
      <c r="B63" s="16">
        <f t="shared" si="3"/>
        <v>46</v>
      </c>
      <c r="C63" s="162">
        <f t="shared" si="9"/>
        <v>46690</v>
      </c>
      <c r="D63" s="6">
        <f>IFERROR(IF(B63&lt;&gt;"",PPMT(Input!$E$18/12,B63,$C$6,Input!$E$17),"")," ")</f>
        <v>-347.01152856333175</v>
      </c>
      <c r="E63" s="6">
        <f>IFERROR(IPMT(Input!$E$18/12,B63,$C$6,Input!$E$17)," ")</f>
        <v>-14.142581244421363</v>
      </c>
      <c r="F63" s="6">
        <f t="shared" si="12"/>
        <v>-15043.543561905321</v>
      </c>
      <c r="G63" s="6">
        <f t="shared" si="13"/>
        <v>-1569.545489251321</v>
      </c>
      <c r="H63" s="6">
        <f t="shared" si="6"/>
        <v>-361.15410980775312</v>
      </c>
      <c r="I63" s="6">
        <f t="shared" si="14"/>
        <v>4956.4564380946849</v>
      </c>
      <c r="J63" s="6" t="str">
        <f>IF(B63&lt;&gt;"",IF(AND(Input!$H$17="Annual",MOD(B63,12)=0),Input!$J$17,IF(AND(Input!$H$17="1st Installment",B63=1),Input!$J$17,IF(Input!$H$17="Monthly",Input!$J$17,""))),"")</f>
        <v/>
      </c>
      <c r="K63" s="6" t="str">
        <f>IF(B63&lt;&gt;"",IF(AND(Input!$H$18="Annual",MOD(B63,12)=0),Input!$J$18,IF(AND(Input!$H$18="1st Installment",B63=1),Input!$J$18,IF(Input!$H$18="Monthly",Input!$J$18,""))),"")</f>
        <v/>
      </c>
      <c r="L63" s="6">
        <f>IF(B63&lt;&gt;"",IF(AND(Input!$H$19="Annual",MOD(B63,12)=0),Input!$J$19,IF(AND(Input!$H$19="1st Installment",B63=1),Input!$J$19,IF(Input!$H$19="Monthly",Input!$J$19,IF(AND(Input!$H$19="End of the loan",B63=Input!$E$22),Input!$J$19,"")))),"")</f>
        <v>0</v>
      </c>
      <c r="M63" s="6">
        <f t="shared" si="10"/>
        <v>0</v>
      </c>
      <c r="N63" s="4">
        <f t="shared" si="11"/>
        <v>361.15410980775312</v>
      </c>
      <c r="R63" s="9">
        <f t="shared" si="2"/>
        <v>46690</v>
      </c>
      <c r="S63" s="5">
        <f t="shared" si="8"/>
        <v>361.15</v>
      </c>
    </row>
    <row r="64" spans="2:19" x14ac:dyDescent="0.2">
      <c r="B64" s="16">
        <f t="shared" si="3"/>
        <v>47</v>
      </c>
      <c r="C64" s="162">
        <f t="shared" si="9"/>
        <v>46721</v>
      </c>
      <c r="D64" s="6">
        <f>IFERROR(IF(B64&lt;&gt;"",PPMT(Input!$E$18/12,B64,$C$6,Input!$E$17),"")," ")</f>
        <v>-347.93689263950063</v>
      </c>
      <c r="E64" s="6">
        <f>IFERROR(IPMT(Input!$E$18/12,B64,$C$6,Input!$E$17)," ")</f>
        <v>-13.217217168252475</v>
      </c>
      <c r="F64" s="6">
        <f t="shared" si="12"/>
        <v>-15391.480454544821</v>
      </c>
      <c r="G64" s="6">
        <f t="shared" si="13"/>
        <v>-1582.7627064195735</v>
      </c>
      <c r="H64" s="6">
        <f t="shared" si="6"/>
        <v>-361.15410980775312</v>
      </c>
      <c r="I64" s="6">
        <f t="shared" si="14"/>
        <v>4608.519545455184</v>
      </c>
      <c r="J64" s="6" t="str">
        <f>IF(B64&lt;&gt;"",IF(AND(Input!$H$17="Annual",MOD(B64,12)=0),Input!$J$17,IF(AND(Input!$H$17="1st Installment",B64=1),Input!$J$17,IF(Input!$H$17="Monthly",Input!$J$17,""))),"")</f>
        <v/>
      </c>
      <c r="K64" s="6" t="str">
        <f>IF(B64&lt;&gt;"",IF(AND(Input!$H$18="Annual",MOD(B64,12)=0),Input!$J$18,IF(AND(Input!$H$18="1st Installment",B64=1),Input!$J$18,IF(Input!$H$18="Monthly",Input!$J$18,""))),"")</f>
        <v/>
      </c>
      <c r="L64" s="6">
        <f>IF(B64&lt;&gt;"",IF(AND(Input!$H$19="Annual",MOD(B64,12)=0),Input!$J$19,IF(AND(Input!$H$19="1st Installment",B64=1),Input!$J$19,IF(Input!$H$19="Monthly",Input!$J$19,IF(AND(Input!$H$19="End of the loan",B64=Input!$E$22),Input!$J$19,"")))),"")</f>
        <v>0</v>
      </c>
      <c r="M64" s="6">
        <f t="shared" si="10"/>
        <v>0</v>
      </c>
      <c r="N64" s="4">
        <f t="shared" si="11"/>
        <v>361.15410980775312</v>
      </c>
      <c r="R64" s="9">
        <f t="shared" si="2"/>
        <v>46721</v>
      </c>
      <c r="S64" s="5">
        <f t="shared" si="8"/>
        <v>361.15</v>
      </c>
    </row>
    <row r="65" spans="1:20" x14ac:dyDescent="0.2">
      <c r="B65" s="16">
        <f t="shared" si="3"/>
        <v>48</v>
      </c>
      <c r="C65" s="162">
        <f t="shared" si="9"/>
        <v>46751</v>
      </c>
      <c r="D65" s="6">
        <f>IFERROR(IF(B65&lt;&gt;"",PPMT(Input!$E$18/12,B65,$C$6,Input!$E$17),"")," ")</f>
        <v>-348.86472435320593</v>
      </c>
      <c r="E65" s="6">
        <f>IFERROR(IPMT(Input!$E$18/12,B65,$C$6,Input!$E$17)," ")</f>
        <v>-12.289385454547142</v>
      </c>
      <c r="F65" s="6">
        <f t="shared" si="12"/>
        <v>-15740.345178898027</v>
      </c>
      <c r="G65" s="6">
        <f t="shared" si="13"/>
        <v>-1595.0520918741206</v>
      </c>
      <c r="H65" s="6">
        <f t="shared" si="6"/>
        <v>-361.15410980775306</v>
      </c>
      <c r="I65" s="6">
        <f t="shared" si="14"/>
        <v>4259.6548211019781</v>
      </c>
      <c r="J65" s="6" t="str">
        <f>IF(B65&lt;&gt;"",IF(AND(Input!$H$17="Annual",MOD(B65,12)=0),Input!$J$17,IF(AND(Input!$H$17="1st Installment",B65=1),Input!$J$17,IF(Input!$H$17="Monthly",Input!$J$17,""))),"")</f>
        <v/>
      </c>
      <c r="K65" s="6">
        <f>IF(B65&lt;&gt;"",IF(AND(Input!$H$18="Annual",MOD(B65,12)=0),Input!$J$18,IF(AND(Input!$H$18="1st Installment",B65=1),Input!$J$18,IF(Input!$H$18="Monthly",Input!$J$18,""))),"")</f>
        <v>0</v>
      </c>
      <c r="L65" s="6">
        <f>IF(B65&lt;&gt;"",IF(AND(Input!$H$19="Annual",MOD(B65,12)=0),Input!$J$19,IF(AND(Input!$H$19="1st Installment",B65=1),Input!$J$19,IF(Input!$H$19="Monthly",Input!$J$19,IF(AND(Input!$H$19="End of the loan",B65=Input!$E$22),Input!$J$19,"")))),"")</f>
        <v>0</v>
      </c>
      <c r="M65" s="6">
        <f t="shared" si="10"/>
        <v>0</v>
      </c>
      <c r="N65" s="4">
        <f t="shared" si="11"/>
        <v>361.15410980775306</v>
      </c>
      <c r="R65" s="9">
        <f t="shared" si="2"/>
        <v>46751</v>
      </c>
      <c r="S65" s="5">
        <f t="shared" si="8"/>
        <v>361.15</v>
      </c>
    </row>
    <row r="66" spans="1:20" x14ac:dyDescent="0.2">
      <c r="B66" s="16">
        <f t="shared" si="3"/>
        <v>49</v>
      </c>
      <c r="C66" s="162">
        <f t="shared" si="9"/>
        <v>46782</v>
      </c>
      <c r="D66" s="6">
        <f>IFERROR(IF(B66&lt;&gt;"",PPMT(Input!$E$18/12,B66,$C$6,Input!$E$17),"")," ")</f>
        <v>-349.79503028481446</v>
      </c>
      <c r="E66" s="6">
        <f>IFERROR(IPMT(Input!$E$18/12,B66,$C$6,Input!$E$17)," ")</f>
        <v>-11.359079522938593</v>
      </c>
      <c r="F66" s="6">
        <f t="shared" si="12"/>
        <v>-16090.140209182842</v>
      </c>
      <c r="G66" s="6">
        <f t="shared" si="13"/>
        <v>-1606.4111713970592</v>
      </c>
      <c r="H66" s="6">
        <f t="shared" si="6"/>
        <v>-361.15410980775306</v>
      </c>
      <c r="I66" s="6">
        <f t="shared" si="14"/>
        <v>3909.8597908171637</v>
      </c>
      <c r="J66" s="6" t="str">
        <f>IF(B66&lt;&gt;"",IF(AND(Input!$H$17="Annual",MOD(B66,12)=0),Input!$J$17,IF(AND(Input!$H$17="1st Installment",B66=1),Input!$J$17,IF(Input!$H$17="Monthly",Input!$J$17,""))),"")</f>
        <v/>
      </c>
      <c r="K66" s="6" t="str">
        <f>IF(B66&lt;&gt;"",IF(AND(Input!$H$18="Annual",MOD(B66,12)=0),Input!$J$18,IF(AND(Input!$H$18="1st Installment",B66=1),Input!$J$18,IF(Input!$H$18="Monthly",Input!$J$18,""))),"")</f>
        <v/>
      </c>
      <c r="L66" s="6">
        <f>IF(B66&lt;&gt;"",IF(AND(Input!$H$19="Annual",MOD(B66,12)=0),Input!$J$19,IF(AND(Input!$H$19="1st Installment",B66=1),Input!$J$19,IF(Input!$H$19="Monthly",Input!$J$19,IF(AND(Input!$H$19="End of the loan",B66=Input!$E$22),Input!$J$19,"")))),"")</f>
        <v>0</v>
      </c>
      <c r="M66" s="6">
        <f t="shared" si="10"/>
        <v>0</v>
      </c>
      <c r="N66" s="4">
        <f t="shared" si="11"/>
        <v>361.15410980775306</v>
      </c>
      <c r="R66" s="9">
        <f t="shared" si="2"/>
        <v>46782</v>
      </c>
      <c r="S66" s="5">
        <f t="shared" si="8"/>
        <v>361.15</v>
      </c>
    </row>
    <row r="67" spans="1:20" x14ac:dyDescent="0.2">
      <c r="B67" s="16">
        <f t="shared" si="3"/>
        <v>50</v>
      </c>
      <c r="C67" s="162">
        <f t="shared" si="9"/>
        <v>46812</v>
      </c>
      <c r="D67" s="6">
        <f>IFERROR(IF(B67&lt;&gt;"",PPMT(Input!$E$18/12,B67,$C$6,Input!$E$17),"")," ")</f>
        <v>-350.72781703224064</v>
      </c>
      <c r="E67" s="6">
        <f>IFERROR(IPMT(Input!$E$18/12,B67,$C$6,Input!$E$17)," ")</f>
        <v>-10.426292775512422</v>
      </c>
      <c r="F67" s="6">
        <f t="shared" si="12"/>
        <v>-16440.868026215081</v>
      </c>
      <c r="G67" s="6">
        <f t="shared" si="13"/>
        <v>-1616.8374641725716</v>
      </c>
      <c r="H67" s="6">
        <f t="shared" si="6"/>
        <v>-361.15410980775306</v>
      </c>
      <c r="I67" s="6">
        <f t="shared" si="14"/>
        <v>3559.131973784923</v>
      </c>
      <c r="J67" s="6" t="str">
        <f>IF(B67&lt;&gt;"",IF(AND(Input!$H$17="Annual",MOD(B67,12)=0),Input!$J$17,IF(AND(Input!$H$17="1st Installment",B67=1),Input!$J$17,IF(Input!$H$17="Monthly",Input!$J$17,""))),"")</f>
        <v/>
      </c>
      <c r="K67" s="6" t="str">
        <f>IF(B67&lt;&gt;"",IF(AND(Input!$H$18="Annual",MOD(B67,12)=0),Input!$J$18,IF(AND(Input!$H$18="1st Installment",B67=1),Input!$J$18,IF(Input!$H$18="Monthly",Input!$J$18,""))),"")</f>
        <v/>
      </c>
      <c r="L67" s="6">
        <f>IF(B67&lt;&gt;"",IF(AND(Input!$H$19="Annual",MOD(B67,12)=0),Input!$J$19,IF(AND(Input!$H$19="1st Installment",B67=1),Input!$J$19,IF(Input!$H$19="Monthly",Input!$J$19,IF(AND(Input!$H$19="End of the loan",B67=Input!$E$22),Input!$J$19,"")))),"")</f>
        <v>0</v>
      </c>
      <c r="M67" s="6">
        <f t="shared" si="10"/>
        <v>0</v>
      </c>
      <c r="N67" s="4">
        <f t="shared" si="11"/>
        <v>361.15410980775306</v>
      </c>
      <c r="R67" s="9">
        <f t="shared" si="2"/>
        <v>46812</v>
      </c>
      <c r="S67" s="5">
        <f t="shared" si="8"/>
        <v>361.15</v>
      </c>
    </row>
    <row r="68" spans="1:20" x14ac:dyDescent="0.2">
      <c r="B68" s="16">
        <f t="shared" si="3"/>
        <v>51</v>
      </c>
      <c r="C68" s="162">
        <f t="shared" si="9"/>
        <v>46842</v>
      </c>
      <c r="D68" s="6">
        <f>IFERROR(IF(B68&lt;&gt;"",PPMT(Input!$E$18/12,B68,$C$6,Input!$E$17),"")," ")</f>
        <v>-351.66309121099329</v>
      </c>
      <c r="E68" s="6">
        <f>IFERROR(IPMT(Input!$E$18/12,B68,$C$6,Input!$E$17)," ")</f>
        <v>-9.491018596759778</v>
      </c>
      <c r="F68" s="6">
        <f t="shared" si="12"/>
        <v>-16792.531117426075</v>
      </c>
      <c r="G68" s="6">
        <f t="shared" si="13"/>
        <v>-1626.3284827693315</v>
      </c>
      <c r="H68" s="6">
        <f t="shared" si="6"/>
        <v>-361.15410980775306</v>
      </c>
      <c r="I68" s="6">
        <f t="shared" si="14"/>
        <v>3207.4688825739299</v>
      </c>
      <c r="J68" s="6" t="str">
        <f>IF(B68&lt;&gt;"",IF(AND(Input!$H$17="Annual",MOD(B68,12)=0),Input!$J$17,IF(AND(Input!$H$17="1st Installment",B68=1),Input!$J$17,IF(Input!$H$17="Monthly",Input!$J$17,""))),"")</f>
        <v/>
      </c>
      <c r="K68" s="6" t="str">
        <f>IF(B68&lt;&gt;"",IF(AND(Input!$H$18="Annual",MOD(B68,12)=0),Input!$J$18,IF(AND(Input!$H$18="1st Installment",B68=1),Input!$J$18,IF(Input!$H$18="Monthly",Input!$J$18,""))),"")</f>
        <v/>
      </c>
      <c r="L68" s="6">
        <f>IF(B68&lt;&gt;"",IF(AND(Input!$H$19="Annual",MOD(B68,12)=0),Input!$J$19,IF(AND(Input!$H$19="1st Installment",B68=1),Input!$J$19,IF(Input!$H$19="Monthly",Input!$J$19,IF(AND(Input!$H$19="End of the loan",B68=Input!$E$22),Input!$J$19,"")))),"")</f>
        <v>0</v>
      </c>
      <c r="M68" s="6">
        <f t="shared" si="10"/>
        <v>0</v>
      </c>
      <c r="N68" s="4">
        <f t="shared" si="11"/>
        <v>361.15410980775306</v>
      </c>
      <c r="R68" s="9">
        <f t="shared" si="2"/>
        <v>46842</v>
      </c>
      <c r="S68" s="5">
        <f t="shared" si="8"/>
        <v>361.15</v>
      </c>
    </row>
    <row r="69" spans="1:20" x14ac:dyDescent="0.2">
      <c r="B69" s="16">
        <f t="shared" si="3"/>
        <v>52</v>
      </c>
      <c r="C69" s="162">
        <f t="shared" si="9"/>
        <v>46873</v>
      </c>
      <c r="D69" s="6">
        <f>IFERROR(IF(B69&lt;&gt;"",PPMT(Input!$E$18/12,B69,$C$6,Input!$E$17),"")," ")</f>
        <v>-352.60085945422264</v>
      </c>
      <c r="E69" s="6">
        <f>IFERROR(IPMT(Input!$E$18/12,B69,$C$6,Input!$E$17)," ")</f>
        <v>-8.5532503535304638</v>
      </c>
      <c r="F69" s="6">
        <f t="shared" si="12"/>
        <v>-17145.131976880297</v>
      </c>
      <c r="G69" s="6">
        <f t="shared" si="13"/>
        <v>-1634.881733122862</v>
      </c>
      <c r="H69" s="6">
        <f t="shared" si="6"/>
        <v>-361.15410980775312</v>
      </c>
      <c r="I69" s="6">
        <f t="shared" si="14"/>
        <v>2854.8680231197072</v>
      </c>
      <c r="J69" s="6" t="str">
        <f>IF(B69&lt;&gt;"",IF(AND(Input!$H$17="Annual",MOD(B69,12)=0),Input!$J$17,IF(AND(Input!$H$17="1st Installment",B69=1),Input!$J$17,IF(Input!$H$17="Monthly",Input!$J$17,""))),"")</f>
        <v/>
      </c>
      <c r="K69" s="6" t="str">
        <f>IF(B69&lt;&gt;"",IF(AND(Input!$H$18="Annual",MOD(B69,12)=0),Input!$J$18,IF(AND(Input!$H$18="1st Installment",B69=1),Input!$J$18,IF(Input!$H$18="Monthly",Input!$J$18,""))),"")</f>
        <v/>
      </c>
      <c r="L69" s="6">
        <f>IF(B69&lt;&gt;"",IF(AND(Input!$H$19="Annual",MOD(B69,12)=0),Input!$J$19,IF(AND(Input!$H$19="1st Installment",B69=1),Input!$J$19,IF(Input!$H$19="Monthly",Input!$J$19,IF(AND(Input!$H$19="End of the loan",B69=Input!$E$22),Input!$J$19,"")))),"")</f>
        <v>0</v>
      </c>
      <c r="M69" s="6">
        <f t="shared" si="10"/>
        <v>0</v>
      </c>
      <c r="N69" s="4">
        <f t="shared" si="11"/>
        <v>361.15410980775312</v>
      </c>
      <c r="R69" s="9">
        <f t="shared" si="2"/>
        <v>46873</v>
      </c>
      <c r="S69" s="5">
        <f t="shared" si="8"/>
        <v>361.15</v>
      </c>
    </row>
    <row r="70" spans="1:20" x14ac:dyDescent="0.2">
      <c r="B70" s="16">
        <f t="shared" si="3"/>
        <v>53</v>
      </c>
      <c r="C70" s="162">
        <f t="shared" si="9"/>
        <v>46903</v>
      </c>
      <c r="D70" s="6">
        <f>IFERROR(IF(B70&lt;&gt;"",PPMT(Input!$E$18/12,B70,$C$6,Input!$E$17),"")," ")</f>
        <v>-353.54112841276725</v>
      </c>
      <c r="E70" s="6">
        <f>IFERROR(IPMT(Input!$E$18/12,B70,$C$6,Input!$E$17)," ")</f>
        <v>-7.6129813949858702</v>
      </c>
      <c r="F70" s="6">
        <f t="shared" si="12"/>
        <v>-17498.673105293063</v>
      </c>
      <c r="G70" s="6">
        <f t="shared" si="13"/>
        <v>-1642.4947145178478</v>
      </c>
      <c r="H70" s="6">
        <f t="shared" si="6"/>
        <v>-361.15410980775312</v>
      </c>
      <c r="I70" s="6">
        <f t="shared" si="14"/>
        <v>2501.32689470694</v>
      </c>
      <c r="J70" s="6" t="str">
        <f>IF(B70&lt;&gt;"",IF(AND(Input!$H$17="Annual",MOD(B70,12)=0),Input!$J$17,IF(AND(Input!$H$17="1st Installment",B70=1),Input!$J$17,IF(Input!$H$17="Monthly",Input!$J$17,""))),"")</f>
        <v/>
      </c>
      <c r="K70" s="6" t="str">
        <f>IF(B70&lt;&gt;"",IF(AND(Input!$H$18="Annual",MOD(B70,12)=0),Input!$J$18,IF(AND(Input!$H$18="1st Installment",B70=1),Input!$J$18,IF(Input!$H$18="Monthly",Input!$J$18,""))),"")</f>
        <v/>
      </c>
      <c r="L70" s="6">
        <f>IF(B70&lt;&gt;"",IF(AND(Input!$H$19="Annual",MOD(B70,12)=0),Input!$J$19,IF(AND(Input!$H$19="1st Installment",B70=1),Input!$J$19,IF(Input!$H$19="Monthly",Input!$J$19,IF(AND(Input!$H$19="End of the loan",B70=Input!$E$22),Input!$J$19,"")))),"")</f>
        <v>0</v>
      </c>
      <c r="M70" s="6">
        <f t="shared" si="10"/>
        <v>0</v>
      </c>
      <c r="N70" s="4">
        <f t="shared" si="11"/>
        <v>361.15410980775312</v>
      </c>
      <c r="R70" s="9">
        <f t="shared" si="2"/>
        <v>46903</v>
      </c>
      <c r="S70" s="5">
        <f t="shared" si="8"/>
        <v>361.15</v>
      </c>
    </row>
    <row r="71" spans="1:20" x14ac:dyDescent="0.2">
      <c r="B71" s="16">
        <f t="shared" si="3"/>
        <v>54</v>
      </c>
      <c r="C71" s="162">
        <f t="shared" si="9"/>
        <v>46934</v>
      </c>
      <c r="D71" s="6">
        <f>IFERROR(IF(B71&lt;&gt;"",PPMT(Input!$E$18/12,B71,$C$6,Input!$E$17),"")," ")</f>
        <v>-354.48390475520125</v>
      </c>
      <c r="E71" s="6">
        <f>IFERROR(IPMT(Input!$E$18/12,B71,$C$6,Input!$E$17)," ")</f>
        <v>-6.6702050525518226</v>
      </c>
      <c r="F71" s="6">
        <f t="shared" si="12"/>
        <v>-17853.157010048264</v>
      </c>
      <c r="G71" s="6">
        <f t="shared" si="13"/>
        <v>-1649.1649195703997</v>
      </c>
      <c r="H71" s="6">
        <f t="shared" si="6"/>
        <v>-361.15410980775306</v>
      </c>
      <c r="I71" s="6">
        <f t="shared" si="14"/>
        <v>2146.8429899517387</v>
      </c>
      <c r="J71" s="6" t="str">
        <f>IF(B71&lt;&gt;"",IF(AND(Input!$H$17="Annual",MOD(B71,12)=0),Input!$J$17,IF(AND(Input!$H$17="1st Installment",B71=1),Input!$J$17,IF(Input!$H$17="Monthly",Input!$J$17,""))),"")</f>
        <v/>
      </c>
      <c r="K71" s="6" t="str">
        <f>IF(B71&lt;&gt;"",IF(AND(Input!$H$18="Annual",MOD(B71,12)=0),Input!$J$18,IF(AND(Input!$H$18="1st Installment",B71=1),Input!$J$18,IF(Input!$H$18="Monthly",Input!$J$18,""))),"")</f>
        <v/>
      </c>
      <c r="L71" s="6">
        <f>IF(B71&lt;&gt;"",IF(AND(Input!$H$19="Annual",MOD(B71,12)=0),Input!$J$19,IF(AND(Input!$H$19="1st Installment",B71=1),Input!$J$19,IF(Input!$H$19="Monthly",Input!$J$19,IF(AND(Input!$H$19="End of the loan",B71=Input!$E$22),Input!$J$19,"")))),"")</f>
        <v>0</v>
      </c>
      <c r="M71" s="6">
        <f t="shared" si="10"/>
        <v>0</v>
      </c>
      <c r="N71" s="4">
        <f t="shared" si="11"/>
        <v>361.15410980775306</v>
      </c>
      <c r="R71" s="9">
        <f t="shared" si="2"/>
        <v>46934</v>
      </c>
      <c r="S71" s="5">
        <f t="shared" si="8"/>
        <v>361.15</v>
      </c>
    </row>
    <row r="72" spans="1:20" x14ac:dyDescent="0.2">
      <c r="B72" s="16">
        <f t="shared" si="3"/>
        <v>55</v>
      </c>
      <c r="C72" s="162">
        <f t="shared" si="9"/>
        <v>46964</v>
      </c>
      <c r="D72" s="6">
        <f>IFERROR(IF(B72&lt;&gt;"",PPMT(Input!$E$18/12,B72,$C$6,Input!$E$17),"")," ")</f>
        <v>-355.42919516788174</v>
      </c>
      <c r="E72" s="6">
        <f>IFERROR(IPMT(Input!$E$18/12,B72,$C$6,Input!$E$17)," ")</f>
        <v>-5.7249146398712885</v>
      </c>
      <c r="F72" s="6">
        <f t="shared" si="12"/>
        <v>-18208.586205216146</v>
      </c>
      <c r="G72" s="6">
        <f t="shared" si="13"/>
        <v>-1654.8898342102709</v>
      </c>
      <c r="H72" s="6">
        <f t="shared" si="6"/>
        <v>-361.15410980775306</v>
      </c>
      <c r="I72" s="6">
        <f t="shared" si="14"/>
        <v>1791.4137947838569</v>
      </c>
      <c r="J72" s="6" t="str">
        <f>IF(B72&lt;&gt;"",IF(AND(Input!$H$17="Annual",MOD(B72,12)=0),Input!$J$17,IF(AND(Input!$H$17="1st Installment",B72=1),Input!$J$17,IF(Input!$H$17="Monthly",Input!$J$17,""))),"")</f>
        <v/>
      </c>
      <c r="K72" s="6" t="str">
        <f>IF(B72&lt;&gt;"",IF(AND(Input!$H$18="Annual",MOD(B72,12)=0),Input!$J$18,IF(AND(Input!$H$18="1st Installment",B72=1),Input!$J$18,IF(Input!$H$18="Monthly",Input!$J$18,""))),"")</f>
        <v/>
      </c>
      <c r="L72" s="6">
        <f>IF(B72&lt;&gt;"",IF(AND(Input!$H$19="Annual",MOD(B72,12)=0),Input!$J$19,IF(AND(Input!$H$19="1st Installment",B72=1),Input!$J$19,IF(Input!$H$19="Monthly",Input!$J$19,IF(AND(Input!$H$19="End of the loan",B72=Input!$E$22),Input!$J$19,"")))),"")</f>
        <v>0</v>
      </c>
      <c r="M72" s="6">
        <f t="shared" si="10"/>
        <v>0</v>
      </c>
      <c r="N72" s="4">
        <f t="shared" si="11"/>
        <v>361.15410980775306</v>
      </c>
      <c r="R72" s="9">
        <f t="shared" si="2"/>
        <v>46964</v>
      </c>
      <c r="S72" s="5">
        <f t="shared" si="8"/>
        <v>361.15</v>
      </c>
    </row>
    <row r="73" spans="1:20" x14ac:dyDescent="0.2">
      <c r="B73" s="16">
        <f t="shared" si="3"/>
        <v>56</v>
      </c>
      <c r="C73" s="162">
        <f t="shared" si="9"/>
        <v>46995</v>
      </c>
      <c r="D73" s="6">
        <f>IFERROR(IF(B73&lt;&gt;"",PPMT(Input!$E$18/12,B73,$C$6,Input!$E$17),"")," ")</f>
        <v>-356.37700635499613</v>
      </c>
      <c r="E73" s="6">
        <f>IFERROR(IPMT(Input!$E$18/12,B73,$C$6,Input!$E$17)," ")</f>
        <v>-4.7771034527569363</v>
      </c>
      <c r="F73" s="6">
        <f t="shared" si="12"/>
        <v>-18564.963211571143</v>
      </c>
      <c r="G73" s="6">
        <f t="shared" si="13"/>
        <v>-1659.666937663028</v>
      </c>
      <c r="H73" s="6">
        <f t="shared" si="6"/>
        <v>-361.15410980775306</v>
      </c>
      <c r="I73" s="6">
        <f t="shared" si="14"/>
        <v>1435.0367884288607</v>
      </c>
      <c r="J73" s="6" t="str">
        <f>IF(B73&lt;&gt;"",IF(AND(Input!$H$17="Annual",MOD(B73,12)=0),Input!$J$17,IF(AND(Input!$H$17="1st Installment",B73=1),Input!$J$17,IF(Input!$H$17="Monthly",Input!$J$17,""))),"")</f>
        <v/>
      </c>
      <c r="K73" s="6" t="str">
        <f>IF(B73&lt;&gt;"",IF(AND(Input!$H$18="Annual",MOD(B73,12)=0),Input!$J$18,IF(AND(Input!$H$18="1st Installment",B73=1),Input!$J$18,IF(Input!$H$18="Monthly",Input!$J$18,""))),"")</f>
        <v/>
      </c>
      <c r="L73" s="6">
        <f>IF(B73&lt;&gt;"",IF(AND(Input!$H$19="Annual",MOD(B73,12)=0),Input!$J$19,IF(AND(Input!$H$19="1st Installment",B73=1),Input!$J$19,IF(Input!$H$19="Monthly",Input!$J$19,IF(AND(Input!$H$19="End of the loan",B73=Input!$E$22),Input!$J$19,"")))),"")</f>
        <v>0</v>
      </c>
      <c r="M73" s="6">
        <f t="shared" si="10"/>
        <v>0</v>
      </c>
      <c r="N73" s="4">
        <f t="shared" si="11"/>
        <v>361.15410980775306</v>
      </c>
      <c r="R73" s="9">
        <f t="shared" si="2"/>
        <v>46995</v>
      </c>
      <c r="S73" s="5">
        <f t="shared" si="8"/>
        <v>361.15</v>
      </c>
    </row>
    <row r="74" spans="1:20" x14ac:dyDescent="0.2">
      <c r="B74" s="16">
        <f t="shared" si="3"/>
        <v>57</v>
      </c>
      <c r="C74" s="162">
        <f t="shared" si="9"/>
        <v>47026</v>
      </c>
      <c r="D74" s="6">
        <f>IFERROR(IF(B74&lt;&gt;"",PPMT(Input!$E$18/12,B74,$C$6,Input!$E$17),"")," ")</f>
        <v>-357.32734503860951</v>
      </c>
      <c r="E74" s="6">
        <f>IFERROR(IPMT(Input!$E$18/12,B74,$C$6,Input!$E$17)," ")</f>
        <v>-3.826764769143614</v>
      </c>
      <c r="F74" s="6">
        <f t="shared" si="12"/>
        <v>-18922.290556609751</v>
      </c>
      <c r="G74" s="6">
        <f t="shared" si="13"/>
        <v>-1663.4937024321716</v>
      </c>
      <c r="H74" s="6">
        <f t="shared" si="6"/>
        <v>-361.15410980775312</v>
      </c>
      <c r="I74" s="6">
        <f t="shared" si="14"/>
        <v>1077.7094433902512</v>
      </c>
      <c r="J74" s="6" t="str">
        <f>IF(B74&lt;&gt;"",IF(AND(Input!$H$17="Annual",MOD(B74,12)=0),Input!$J$17,IF(AND(Input!$H$17="1st Installment",B74=1),Input!$J$17,IF(Input!$H$17="Monthly",Input!$J$17,""))),"")</f>
        <v/>
      </c>
      <c r="K74" s="6" t="str">
        <f>IF(B74&lt;&gt;"",IF(AND(Input!$H$18="Annual",MOD(B74,12)=0),Input!$J$18,IF(AND(Input!$H$18="1st Installment",B74=1),Input!$J$18,IF(Input!$H$18="Monthly",Input!$J$18,""))),"")</f>
        <v/>
      </c>
      <c r="L74" s="6">
        <f>IF(B74&lt;&gt;"",IF(AND(Input!$H$19="Annual",MOD(B74,12)=0),Input!$J$19,IF(AND(Input!$H$19="1st Installment",B74=1),Input!$J$19,IF(Input!$H$19="Monthly",Input!$J$19,IF(AND(Input!$H$19="End of the loan",B74=Input!$E$22),Input!$J$19,"")))),"")</f>
        <v>0</v>
      </c>
      <c r="M74" s="6">
        <f t="shared" si="10"/>
        <v>0</v>
      </c>
      <c r="N74" s="4">
        <f t="shared" si="11"/>
        <v>361.15410980775312</v>
      </c>
      <c r="R74" s="9">
        <f t="shared" si="2"/>
        <v>47026</v>
      </c>
      <c r="S74" s="5">
        <f t="shared" si="8"/>
        <v>361.15</v>
      </c>
    </row>
    <row r="75" spans="1:20" x14ac:dyDescent="0.2">
      <c r="B75" s="16">
        <f t="shared" si="3"/>
        <v>58</v>
      </c>
      <c r="C75" s="162">
        <f t="shared" si="9"/>
        <v>47056</v>
      </c>
      <c r="D75" s="6">
        <f>IFERROR(IF(B75&lt;&gt;"",PPMT(Input!$E$18/12,B75,$C$6,Input!$E$17),"")," ")</f>
        <v>-358.2802179587124</v>
      </c>
      <c r="E75" s="6">
        <f>IFERROR(IPMT(Input!$E$18/12,B75,$C$6,Input!$E$17)," ")</f>
        <v>-2.8738918490406551</v>
      </c>
      <c r="F75" s="6">
        <f t="shared" si="12"/>
        <v>-19280.570774568463</v>
      </c>
      <c r="G75" s="6">
        <f t="shared" si="13"/>
        <v>-1666.3675942812122</v>
      </c>
      <c r="H75" s="6">
        <f t="shared" si="6"/>
        <v>-361.15410980775306</v>
      </c>
      <c r="I75" s="6">
        <f t="shared" si="14"/>
        <v>719.42922543153873</v>
      </c>
      <c r="J75" s="6" t="str">
        <f>IF(B75&lt;&gt;"",IF(AND(Input!$H$17="Annual",MOD(B75,12)=0),Input!$J$17,IF(AND(Input!$H$17="1st Installment",B75=1),Input!$J$17,IF(Input!$H$17="Monthly",Input!$J$17,""))),"")</f>
        <v/>
      </c>
      <c r="K75" s="6" t="str">
        <f>IF(B75&lt;&gt;"",IF(AND(Input!$H$18="Annual",MOD(B75,12)=0),Input!$J$18,IF(AND(Input!$H$18="1st Installment",B75=1),Input!$J$18,IF(Input!$H$18="Monthly",Input!$J$18,""))),"")</f>
        <v/>
      </c>
      <c r="L75" s="6">
        <f>IF(B75&lt;&gt;"",IF(AND(Input!$H$19="Annual",MOD(B75,12)=0),Input!$J$19,IF(AND(Input!$H$19="1st Installment",B75=1),Input!$J$19,IF(Input!$H$19="Monthly",Input!$J$19,IF(AND(Input!$H$19="End of the loan",B75=Input!$E$22),Input!$J$19,"")))),"")</f>
        <v>0</v>
      </c>
      <c r="M75" s="6">
        <f t="shared" si="10"/>
        <v>0</v>
      </c>
      <c r="N75" s="4">
        <f t="shared" si="11"/>
        <v>361.15410980775306</v>
      </c>
      <c r="R75" s="9">
        <f t="shared" si="2"/>
        <v>47056</v>
      </c>
      <c r="S75" s="5">
        <f t="shared" si="8"/>
        <v>361.15</v>
      </c>
    </row>
    <row r="76" spans="1:20" x14ac:dyDescent="0.2">
      <c r="B76" s="16">
        <f t="shared" si="3"/>
        <v>59</v>
      </c>
      <c r="C76" s="162">
        <f t="shared" si="9"/>
        <v>47087</v>
      </c>
      <c r="D76" s="6">
        <f>IFERROR(IF(B76&lt;&gt;"",PPMT(Input!$E$18/12,B76,$C$6,Input!$E$17),"")," ")</f>
        <v>-359.23563187326903</v>
      </c>
      <c r="E76" s="6">
        <f>IFERROR(IPMT(Input!$E$18/12,B76,$C$6,Input!$E$17)," ")</f>
        <v>-1.9184779344840883</v>
      </c>
      <c r="F76" s="6">
        <f t="shared" si="12"/>
        <v>-19639.80640644173</v>
      </c>
      <c r="G76" s="6">
        <f t="shared" si="13"/>
        <v>-1668.2860722156963</v>
      </c>
      <c r="H76" s="6">
        <f t="shared" si="6"/>
        <v>-361.15410980775312</v>
      </c>
      <c r="I76" s="6">
        <f t="shared" si="14"/>
        <v>360.1935935582697</v>
      </c>
      <c r="J76" s="6" t="str">
        <f>IF(B76&lt;&gt;"",IF(AND(Input!$H$17="Annual",MOD(B76,12)=0),Input!$J$17,IF(AND(Input!$H$17="1st Installment",B76=1),Input!$J$17,IF(Input!$H$17="Monthly",Input!$J$17,""))),"")</f>
        <v/>
      </c>
      <c r="K76" s="6" t="str">
        <f>IF(B76&lt;&gt;"",IF(AND(Input!$H$18="Annual",MOD(B76,12)=0),Input!$J$18,IF(AND(Input!$H$18="1st Installment",B76=1),Input!$J$18,IF(Input!$H$18="Monthly",Input!$J$18,""))),"")</f>
        <v/>
      </c>
      <c r="L76" s="6">
        <f>IF(B76&lt;&gt;"",IF(AND(Input!$H$19="Annual",MOD(B76,12)=0),Input!$J$19,IF(AND(Input!$H$19="1st Installment",B76=1),Input!$J$19,IF(Input!$H$19="Monthly",Input!$J$19,IF(AND(Input!$H$19="End of the loan",B76=Input!$E$22),Input!$J$19,"")))),"")</f>
        <v>0</v>
      </c>
      <c r="M76" s="6">
        <f t="shared" si="10"/>
        <v>0</v>
      </c>
      <c r="N76" s="4">
        <f t="shared" si="11"/>
        <v>361.15410980775312</v>
      </c>
      <c r="R76" s="9">
        <f t="shared" si="2"/>
        <v>47087</v>
      </c>
      <c r="S76" s="5">
        <f t="shared" si="8"/>
        <v>361.15</v>
      </c>
    </row>
    <row r="77" spans="1:20" x14ac:dyDescent="0.2">
      <c r="B77" s="16">
        <f t="shared" si="3"/>
        <v>60</v>
      </c>
      <c r="C77" s="162">
        <f t="shared" si="9"/>
        <v>47117</v>
      </c>
      <c r="D77" s="6">
        <f>IFERROR(IF(B77&lt;&gt;"",PPMT(Input!$E$18/12,B77,$C$6,Input!$E$17),"")," ")</f>
        <v>-360.19359355826435</v>
      </c>
      <c r="E77" s="6">
        <f>IFERROR(IPMT(Input!$E$18/12,B77,$C$6,Input!$E$17)," ")</f>
        <v>-0.96051624948870495</v>
      </c>
      <c r="F77" s="6">
        <f t="shared" si="12"/>
        <v>-19999.999999999996</v>
      </c>
      <c r="G77" s="6">
        <f t="shared" si="13"/>
        <v>-1669.2465884651849</v>
      </c>
      <c r="H77" s="6">
        <f t="shared" si="6"/>
        <v>-361.15410980775306</v>
      </c>
      <c r="I77" s="6">
        <f t="shared" si="14"/>
        <v>5.3432813729159534E-12</v>
      </c>
      <c r="J77" s="6" t="str">
        <f>IF(B77&lt;&gt;"",IF(AND(Input!$H$17="Annual",MOD(B77,12)=0),Input!$J$17,IF(AND(Input!$H$17="1st Installment",B77=1),Input!$J$17,IF(Input!$H$17="Monthly",Input!$J$17,""))),"")</f>
        <v/>
      </c>
      <c r="K77" s="6">
        <f>IF(B77&lt;&gt;"",IF(AND(Input!$H$18="Annual",MOD(B77,12)=0),Input!$J$18,IF(AND(Input!$H$18="1st Installment",B77=1),Input!$J$18,IF(Input!$H$18="Monthly",Input!$J$18,""))),"")</f>
        <v>0</v>
      </c>
      <c r="L77" s="6">
        <f>IF(B77&lt;&gt;"",IF(AND(Input!$H$19="Annual",MOD(B77,12)=0),Input!$J$19,IF(AND(Input!$H$19="1st Installment",B77=1),Input!$J$19,IF(Input!$H$19="Monthly",Input!$J$19,IF(AND(Input!$H$19="End of the loan",B77=Input!$E$22),Input!$J$19,"")))),"")</f>
        <v>0</v>
      </c>
      <c r="M77" s="6">
        <f t="shared" si="10"/>
        <v>0</v>
      </c>
      <c r="N77" s="4">
        <f t="shared" si="11"/>
        <v>361.15410980775306</v>
      </c>
      <c r="R77" s="9">
        <f t="shared" si="2"/>
        <v>47117</v>
      </c>
      <c r="S77" s="5">
        <f t="shared" si="8"/>
        <v>361.15</v>
      </c>
    </row>
    <row r="78" spans="1:20" x14ac:dyDescent="0.2">
      <c r="A78" s="11"/>
      <c r="B78" s="168"/>
      <c r="C78" s="176"/>
      <c r="D78" s="170"/>
      <c r="E78" s="170"/>
      <c r="F78" s="170"/>
      <c r="G78" s="170"/>
      <c r="H78" s="170"/>
      <c r="I78" s="170"/>
      <c r="J78" s="170"/>
      <c r="K78" s="170"/>
      <c r="L78" s="170"/>
      <c r="M78" s="170"/>
      <c r="N78" s="171"/>
      <c r="O78" s="11"/>
      <c r="P78" s="11"/>
      <c r="Q78" s="11"/>
      <c r="R78" s="169"/>
      <c r="S78" s="172"/>
      <c r="T78" s="11"/>
    </row>
    <row r="79" spans="1:20" x14ac:dyDescent="0.2">
      <c r="A79" s="11"/>
      <c r="B79" s="32"/>
      <c r="C79" s="177"/>
      <c r="D79" s="174"/>
      <c r="E79" s="174"/>
      <c r="F79" s="174"/>
      <c r="G79" s="174"/>
      <c r="H79" s="174"/>
      <c r="I79" s="174"/>
      <c r="J79" s="174"/>
      <c r="K79" s="174"/>
      <c r="L79" s="174"/>
      <c r="M79" s="174"/>
      <c r="N79" s="72"/>
      <c r="O79" s="11"/>
      <c r="P79" s="11"/>
      <c r="Q79" s="11"/>
      <c r="R79" s="65"/>
      <c r="S79" s="175"/>
      <c r="T79" s="11"/>
    </row>
    <row r="80" spans="1:20" x14ac:dyDescent="0.2">
      <c r="A80" s="11"/>
      <c r="B80" s="32"/>
      <c r="C80" s="177"/>
      <c r="D80" s="174"/>
      <c r="E80" s="174"/>
      <c r="F80" s="174"/>
      <c r="G80" s="174"/>
      <c r="H80" s="174"/>
      <c r="I80" s="174"/>
      <c r="J80" s="174"/>
      <c r="K80" s="174"/>
      <c r="L80" s="174"/>
      <c r="M80" s="174"/>
      <c r="N80" s="72"/>
      <c r="O80" s="11"/>
      <c r="P80" s="11"/>
      <c r="Q80" s="11"/>
      <c r="R80" s="65"/>
      <c r="S80" s="175"/>
      <c r="T80" s="11"/>
    </row>
    <row r="81" spans="1:20" x14ac:dyDescent="0.2">
      <c r="A81" s="11"/>
      <c r="B81" s="11"/>
      <c r="C81" s="11"/>
      <c r="D81" s="11"/>
      <c r="E81" s="11"/>
      <c r="F81" s="11"/>
      <c r="G81" s="11"/>
      <c r="H81" s="11"/>
      <c r="I81" s="11"/>
      <c r="J81" s="11"/>
      <c r="K81" s="11"/>
      <c r="L81" s="11"/>
      <c r="M81" s="11"/>
      <c r="N81" s="11"/>
      <c r="O81" s="11"/>
      <c r="P81" s="11"/>
      <c r="Q81" s="11"/>
      <c r="R81" s="11"/>
      <c r="S81" s="11"/>
      <c r="T81" s="11"/>
    </row>
    <row r="82" spans="1:20" x14ac:dyDescent="0.2">
      <c r="A82" s="11"/>
      <c r="B82" s="11"/>
      <c r="C82" s="11"/>
      <c r="D82" s="11"/>
      <c r="E82" s="11"/>
      <c r="F82" s="11"/>
      <c r="G82" s="11"/>
      <c r="H82" s="11"/>
      <c r="I82" s="11"/>
      <c r="J82" s="11"/>
      <c r="K82" s="11"/>
      <c r="L82" s="11"/>
      <c r="M82" s="11"/>
      <c r="N82" s="11"/>
      <c r="O82" s="11"/>
      <c r="P82" s="11"/>
      <c r="Q82" s="11"/>
      <c r="R82" s="11"/>
      <c r="S82" s="11"/>
      <c r="T82" s="11"/>
    </row>
    <row r="83" spans="1:20" x14ac:dyDescent="0.2">
      <c r="A83" s="11"/>
      <c r="B83" s="11"/>
      <c r="C83" s="11"/>
      <c r="D83" s="11"/>
      <c r="E83" s="11"/>
      <c r="F83" s="11"/>
      <c r="G83" s="11"/>
      <c r="H83" s="11"/>
      <c r="I83" s="11"/>
      <c r="J83" s="11"/>
      <c r="K83" s="11"/>
      <c r="L83" s="11"/>
      <c r="M83" s="11"/>
      <c r="N83" s="11"/>
      <c r="O83" s="11"/>
      <c r="P83" s="11"/>
      <c r="Q83" s="11"/>
      <c r="R83" s="11"/>
      <c r="S83" s="11"/>
      <c r="T83" s="11"/>
    </row>
    <row r="84" spans="1:20" x14ac:dyDescent="0.2">
      <c r="A84" s="11"/>
      <c r="B84" s="11"/>
      <c r="C84" s="11"/>
      <c r="D84" s="11"/>
      <c r="E84" s="11"/>
      <c r="F84" s="11"/>
      <c r="G84" s="11"/>
      <c r="H84" s="11"/>
      <c r="I84" s="11"/>
      <c r="J84" s="11"/>
      <c r="K84" s="11"/>
      <c r="L84" s="11"/>
      <c r="M84" s="11"/>
      <c r="N84" s="11"/>
      <c r="O84" s="11"/>
      <c r="P84" s="11"/>
      <c r="Q84" s="11"/>
      <c r="R84" s="11"/>
      <c r="S84" s="11"/>
      <c r="T84" s="11"/>
    </row>
    <row r="85" spans="1:20" x14ac:dyDescent="0.2">
      <c r="A85" s="11"/>
      <c r="B85" s="11"/>
      <c r="C85" s="11"/>
      <c r="D85" s="11"/>
      <c r="E85" s="11"/>
      <c r="F85" s="11"/>
      <c r="G85" s="11"/>
      <c r="H85" s="11"/>
      <c r="I85" s="11"/>
      <c r="J85" s="11"/>
      <c r="K85" s="11"/>
      <c r="L85" s="11"/>
      <c r="M85" s="11"/>
      <c r="N85" s="11"/>
      <c r="O85" s="11"/>
      <c r="P85" s="11"/>
      <c r="Q85" s="11"/>
      <c r="R85" s="11"/>
      <c r="S85" s="11"/>
      <c r="T85" s="11"/>
    </row>
  </sheetData>
  <mergeCells count="3">
    <mergeCell ref="B4:F4"/>
    <mergeCell ref="R15:S15"/>
    <mergeCell ref="B2:N2"/>
  </mergeCells>
  <pageMargins left="0.7" right="0.7" top="0.75" bottom="0.75" header="0.3" footer="0.3"/>
  <pageSetup orientation="portrait" r:id="rId1"/>
  <headerFooter>
    <oddHeader>&amp;C
&amp;G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24571D"/>
  </sheetPr>
  <dimension ref="A1:X83"/>
  <sheetViews>
    <sheetView showGridLines="0" topLeftCell="B1" zoomScaleNormal="100" workbookViewId="0">
      <selection activeCell="B19" sqref="B19"/>
    </sheetView>
  </sheetViews>
  <sheetFormatPr defaultColWidth="8.88671875" defaultRowHeight="11.4" x14ac:dyDescent="0.2"/>
  <cols>
    <col min="1" max="1" width="0" style="1" hidden="1" customWidth="1"/>
    <col min="2" max="7" width="24.33203125" style="1" customWidth="1"/>
    <col min="8" max="8" width="29.109375" style="1" bestFit="1" customWidth="1"/>
    <col min="9" max="14" width="24.33203125" style="1" customWidth="1"/>
    <col min="15" max="15" width="17.33203125" style="1" bestFit="1" customWidth="1"/>
    <col min="16" max="16" width="11" style="1" bestFit="1" customWidth="1"/>
    <col min="17" max="17" width="12" style="1" bestFit="1" customWidth="1"/>
    <col min="18" max="18" width="8.88671875" style="1"/>
    <col min="19" max="19" width="10.44140625" style="1" bestFit="1" customWidth="1"/>
    <col min="20" max="20" width="11.6640625" style="1" bestFit="1" customWidth="1"/>
    <col min="21" max="23" width="8.88671875" style="1" customWidth="1"/>
    <col min="24" max="16384" width="8.88671875" style="1"/>
  </cols>
  <sheetData>
    <row r="1" spans="2:24" x14ac:dyDescent="0.2">
      <c r="V1" s="179">
        <f>ROW(S17)</f>
        <v>17</v>
      </c>
      <c r="W1" s="179">
        <f>ROW(T17)</f>
        <v>17</v>
      </c>
    </row>
    <row r="2" spans="2:24" ht="16.95" customHeight="1" x14ac:dyDescent="0.2">
      <c r="B2" s="198" t="s">
        <v>14</v>
      </c>
      <c r="C2" s="198"/>
      <c r="D2" s="198"/>
      <c r="E2" s="198"/>
      <c r="F2" s="198"/>
      <c r="G2" s="198"/>
      <c r="H2" s="198"/>
      <c r="I2" s="198"/>
      <c r="J2" s="198"/>
      <c r="K2" s="198"/>
      <c r="L2" s="198"/>
      <c r="M2" s="198"/>
      <c r="N2" s="198"/>
      <c r="O2" s="198"/>
      <c r="V2" s="179">
        <f>COLUMN(S17)</f>
        <v>19</v>
      </c>
      <c r="W2" s="179">
        <f>COLUMN(T17)</f>
        <v>20</v>
      </c>
    </row>
    <row r="3" spans="2:24" x14ac:dyDescent="0.2">
      <c r="V3" s="179"/>
      <c r="W3" s="180">
        <f>COUNTIF(S17:S81,"&gt;0")-1</f>
        <v>45</v>
      </c>
    </row>
    <row r="4" spans="2:24" x14ac:dyDescent="0.2">
      <c r="B4" s="196" t="s">
        <v>19</v>
      </c>
      <c r="C4" s="196"/>
      <c r="D4" s="196"/>
      <c r="E4" s="196"/>
      <c r="F4" s="196"/>
    </row>
    <row r="6" spans="2:24" x14ac:dyDescent="0.2">
      <c r="B6" s="3" t="s">
        <v>17</v>
      </c>
      <c r="C6" s="3">
        <f>Input!E39</f>
        <v>45</v>
      </c>
      <c r="E6" s="17" t="s">
        <v>7</v>
      </c>
      <c r="F6" s="14">
        <f ca="1">XIRR(T17:INDIRECT(ADDRESS($W$1+$W$3,$W$2)),S17:INDIRECT(ADDRESS($V$1+$W$3,$V$2)))</f>
        <v>0.10527102351188661</v>
      </c>
    </row>
    <row r="8" spans="2:24" x14ac:dyDescent="0.2">
      <c r="B8" s="3" t="s">
        <v>2</v>
      </c>
      <c r="C8" s="5">
        <f>Input!E34</f>
        <v>300000</v>
      </c>
    </row>
    <row r="9" spans="2:24" x14ac:dyDescent="0.2">
      <c r="B9" s="3" t="s">
        <v>110</v>
      </c>
      <c r="C9" s="5">
        <f>-SUM(E18:E82)</f>
        <v>35456.253991736536</v>
      </c>
      <c r="D9" s="8"/>
      <c r="T9" s="110"/>
      <c r="X9" s="15"/>
    </row>
    <row r="10" spans="2:24" x14ac:dyDescent="0.2">
      <c r="B10" s="3" t="s">
        <v>8</v>
      </c>
      <c r="C10" s="5">
        <f>SUM($N$17:$N$82)</f>
        <v>32808</v>
      </c>
      <c r="F10" s="107"/>
      <c r="X10" s="7"/>
    </row>
    <row r="11" spans="2:24" x14ac:dyDescent="0.2">
      <c r="B11" s="3" t="s">
        <v>41</v>
      </c>
      <c r="C11" s="9">
        <f>EDATE(Input!E42,C6)</f>
        <v>46690</v>
      </c>
      <c r="X11" s="8"/>
    </row>
    <row r="13" spans="2:24" x14ac:dyDescent="0.2">
      <c r="B13" s="3" t="s">
        <v>12</v>
      </c>
      <c r="C13" s="98">
        <f>Input!E46</f>
        <v>50000</v>
      </c>
      <c r="H13" s="68"/>
      <c r="I13" s="2"/>
      <c r="P13" s="15"/>
    </row>
    <row r="14" spans="2:24" x14ac:dyDescent="0.2">
      <c r="F14" s="12"/>
      <c r="H14" s="68"/>
      <c r="P14" s="7"/>
      <c r="Q14" s="8"/>
      <c r="R14" s="8"/>
    </row>
    <row r="15" spans="2:24" x14ac:dyDescent="0.2">
      <c r="H15" s="199"/>
      <c r="I15" s="199"/>
      <c r="N15" s="12"/>
      <c r="S15" s="197" t="s">
        <v>38</v>
      </c>
      <c r="T15" s="197"/>
    </row>
    <row r="16" spans="2:24" x14ac:dyDescent="0.2">
      <c r="B16" s="13" t="s">
        <v>3</v>
      </c>
      <c r="C16" s="13" t="s">
        <v>4</v>
      </c>
      <c r="D16" s="13" t="s">
        <v>5</v>
      </c>
      <c r="E16" s="13" t="s">
        <v>118</v>
      </c>
      <c r="F16" s="13" t="s">
        <v>10</v>
      </c>
      <c r="G16" s="13" t="s">
        <v>111</v>
      </c>
      <c r="H16" s="13" t="s">
        <v>6</v>
      </c>
      <c r="I16" s="13" t="s">
        <v>11</v>
      </c>
      <c r="J16" s="13" t="s">
        <v>32</v>
      </c>
      <c r="K16" s="13" t="s">
        <v>33</v>
      </c>
      <c r="L16" s="13" t="s">
        <v>34</v>
      </c>
      <c r="M16" s="13" t="s">
        <v>55</v>
      </c>
      <c r="N16" s="13" t="s">
        <v>15</v>
      </c>
      <c r="O16" s="13" t="s">
        <v>16</v>
      </c>
      <c r="S16" s="13" t="s">
        <v>39</v>
      </c>
      <c r="T16" s="13" t="s">
        <v>40</v>
      </c>
    </row>
    <row r="17" spans="1:24" x14ac:dyDescent="0.2">
      <c r="B17" s="16">
        <v>0</v>
      </c>
      <c r="C17" s="162">
        <f>Input!E40</f>
        <v>45292</v>
      </c>
      <c r="D17" s="6">
        <v>0</v>
      </c>
      <c r="E17" s="6">
        <v>0</v>
      </c>
      <c r="F17" s="6">
        <v>0</v>
      </c>
      <c r="G17" s="6">
        <v>0</v>
      </c>
      <c r="H17" s="6">
        <v>0</v>
      </c>
      <c r="I17" s="6">
        <v>0</v>
      </c>
      <c r="J17" s="6">
        <f>IF(AND(Input!$H$34="Upfront Payment",B17=0),Input!$J$34,"")</f>
        <v>3000</v>
      </c>
      <c r="K17" s="6" t="str">
        <f>IF(AND(Input!$H$35="Upfront Payment",B17=0),Input!$J$35,"")</f>
        <v/>
      </c>
      <c r="L17" s="6" t="str">
        <f>IF(AND(Input!$H$36="Upfront Payment",B17=0),Input!$I$36,"")</f>
        <v/>
      </c>
      <c r="M17" s="6" t="str">
        <f>IF(AND(Input!$H$37="Upfront Payment",B17=0),Input!$J$37,"")</f>
        <v/>
      </c>
      <c r="N17" s="6">
        <f t="shared" ref="N17:N48" si="0">IF(B17&lt;&gt;"",SUM(J17:M17),"")</f>
        <v>3000</v>
      </c>
      <c r="O17" s="6">
        <f>IF(B17&lt;&gt;"",SUM(J17:M17)+H17,"")</f>
        <v>3000</v>
      </c>
      <c r="S17" s="9">
        <f>C17</f>
        <v>45292</v>
      </c>
      <c r="T17" s="5">
        <f>-(C8-O17)</f>
        <v>-297000</v>
      </c>
      <c r="U17" s="139"/>
      <c r="V17" s="105"/>
      <c r="W17" s="104"/>
      <c r="X17" s="8"/>
    </row>
    <row r="18" spans="1:24" x14ac:dyDescent="0.2">
      <c r="A18" s="1">
        <f>IF(B18&lt;&gt;"",1,"")</f>
        <v>1</v>
      </c>
      <c r="B18" s="16">
        <v>1</v>
      </c>
      <c r="C18" s="162">
        <f>Input!E42</f>
        <v>45321</v>
      </c>
      <c r="D18" s="6">
        <f>IFERROR((PPMT(Input!$E$35/12,B18,$C$6,Input!$E$34,-$C$13,0))," ")</f>
        <v>-5043.4723109274792</v>
      </c>
      <c r="E18" s="6">
        <f>IFERROR(IPMT(Input!$E$35/12,B18,$C$6,Input!$E$34,-$C$13,0)," ")</f>
        <v>-1300</v>
      </c>
      <c r="F18" s="6">
        <f>D18</f>
        <v>-5043.4723109274792</v>
      </c>
      <c r="G18" s="6">
        <f>E18</f>
        <v>-1300</v>
      </c>
      <c r="H18" s="6">
        <f>(IF(B18=$C$6,(-$C$13+IFERROR(D18+E18,"")),IFERROR(D18+E18,"")))</f>
        <v>-6343.4723109274792</v>
      </c>
      <c r="I18" s="6">
        <f>+IFERROR($C$8+F18,"")</f>
        <v>294956.52768907254</v>
      </c>
      <c r="J18" s="6" t="str">
        <f>IF(B18&lt;&gt;"",IF(AND(Input!$H$34="Annual",MOD(B18,12)=0),Input!$J$34,IF(AND(Input!$H$34="1st Installment",B18=1),Input!$J$34,IF(Input!$H$34="Monthly",Input!$J$34,""))),"")</f>
        <v/>
      </c>
      <c r="K18" s="6" t="str">
        <f>IF(B18&lt;&gt;"",IF(AND(Input!$H$35="Annual",MOD(B18,12)=0),Input!$J$35,IF(AND(Input!$H$35="1st Installment",B18=1),Input!$J$35,IF(Input!$H$35="Monthly",Input!$J$35,""))),"")</f>
        <v/>
      </c>
      <c r="L18" s="6">
        <f>IF(B18&lt;=$C$6,(_xlfn.IFNA(IF(AND(Input!$H$36="1st Installment",B18=1),Input!$I$36,IF(Input!$H$36="Monthly",VLOOKUP(A18,Input!$G$41:$L$46,6,0),IF(Input!$H$36="Annual",VLOOKUP('Auto Finance'!B18,Input!$K$41:$L$46,2,0),""))),""))," ")</f>
        <v>920</v>
      </c>
      <c r="M18" s="6">
        <f>IF(B18&lt;&gt;"",IF(AND(Input!$H$37="Annual",MOD(B18,12)=0),Input!$J$37,IF(AND(Input!$H$37="1st Installment",B18=1),Input!$J$37,IF(Input!$H$37="Monthly",Input!$J$37,IF(AND(Input!$H$37="End of the loan",B18=Input!$E$39),Input!$J$37,"")))),"")</f>
        <v>0</v>
      </c>
      <c r="N18" s="6">
        <f t="shared" si="0"/>
        <v>920</v>
      </c>
      <c r="O18" s="4">
        <f t="shared" ref="O18:O73" si="1">IF(B18&lt;&gt;"",(-H18+N18),"")</f>
        <v>7263.4723109274792</v>
      </c>
      <c r="S18" s="9">
        <f>C18</f>
        <v>45321</v>
      </c>
      <c r="T18" s="5">
        <f>IFERROR(ROUND((_xlfn.IFNA(VLOOKUP(S18,$C$18:$O$82,13,0),0)),2)," ")</f>
        <v>7263.47</v>
      </c>
      <c r="U18" s="139"/>
      <c r="V18" s="106"/>
      <c r="W18" s="99"/>
    </row>
    <row r="19" spans="1:24" x14ac:dyDescent="0.2">
      <c r="A19" s="1">
        <f t="shared" ref="A19:A29" si="2">IF(B19&lt;&gt;"",1,"")</f>
        <v>1</v>
      </c>
      <c r="B19" s="16">
        <f>IF(B18="","",IF((B18+1)&lt;=$C$6,B18+1,""))</f>
        <v>2</v>
      </c>
      <c r="C19" s="162">
        <f>IF(B19="","",EDATE($C$18,(B19-1)))</f>
        <v>45351</v>
      </c>
      <c r="D19" s="6">
        <f>IFERROR(PPMT(Input!$E$35/12,B19,$C$6,Input!$E$34,-$C$13,0)," ")</f>
        <v>-5065.3273576081647</v>
      </c>
      <c r="E19" s="6">
        <f>IFERROR(IPMT(Input!$E$35/12,B19,$C$6,Input!$E$34,-$C$13,0)," ")</f>
        <v>-1278.1449533193143</v>
      </c>
      <c r="F19" s="6">
        <f>IF(B19&lt;=$C$6,F18+D19,"")</f>
        <v>-10108.799668535645</v>
      </c>
      <c r="G19" s="6">
        <f>IF(B19&lt;=$C$6,G18+E19,"")</f>
        <v>-2578.1449533193145</v>
      </c>
      <c r="H19" s="6">
        <f t="shared" ref="H19:H77" si="3">(IF(B19=$C$6,(-$C$13+IFERROR(D19+E19,"")),IFERROR(D19+E19,"")))</f>
        <v>-6343.4723109274792</v>
      </c>
      <c r="I19" s="6">
        <f t="shared" ref="I19:I73" si="4">+IFERROR($C$8+F19,"")</f>
        <v>289891.20033146435</v>
      </c>
      <c r="J19" s="6" t="str">
        <f>IF(B19&lt;&gt;"",IF(AND(Input!$H$34="Annual",MOD(B19,12)=0),Input!$J$34,IF(AND(Input!$H$34="1st Installment",B19=1),Input!$J$34,IF(Input!$H$34="Monthly",Input!$J$34,""))),"")</f>
        <v/>
      </c>
      <c r="K19" s="6" t="str">
        <f>IF(B19&lt;&gt;"",IF(AND(Input!$H$35="Annual",MOD(B19,12)=0),Input!$J$35,IF(AND(Input!$H$35="1st Installment",B19=1),Input!$J$35,IF(Input!$H$35="Monthly",Input!$J$35,""))),"")</f>
        <v/>
      </c>
      <c r="L19" s="6">
        <f>IF(B19&lt;=$C$6,(_xlfn.IFNA(IF(AND(Input!$H$36="1st Installment",B19=1),Input!$I$36,IF(Input!$H$36="Monthly",VLOOKUP(A19,Input!$G$41:$L$46,6,0),IF(Input!$H$36="Annual",VLOOKUP('Auto Finance'!B19,Input!$K$41:$L$46,2,0),""))),""))," ")</f>
        <v>920</v>
      </c>
      <c r="M19" s="6">
        <f>IF(B19&lt;&gt;"",IF(AND(Input!$H$37="Annual",MOD(B19,12)=0),Input!$J$37,IF(AND(Input!$H$37="1st Installment",B19=1),Input!$J$37,IF(Input!$H$37="Monthly",Input!$J$37,IF(AND(Input!$H$37="End of the loan",B19=Input!$E$39),Input!$J$37,"")))),"")</f>
        <v>0</v>
      </c>
      <c r="N19" s="6">
        <f t="shared" si="0"/>
        <v>920</v>
      </c>
      <c r="O19" s="4">
        <f t="shared" si="1"/>
        <v>7263.4723109274792</v>
      </c>
      <c r="S19" s="9">
        <f>C19</f>
        <v>45351</v>
      </c>
      <c r="T19" s="5">
        <f t="shared" ref="T19:T77" si="5">IFERROR(ROUND((_xlfn.IFNA(VLOOKUP(S19,$C$18:$O$82,13,0),0)),2)," ")</f>
        <v>7263.47</v>
      </c>
      <c r="U19" s="139"/>
      <c r="V19" s="106"/>
      <c r="W19" s="99"/>
    </row>
    <row r="20" spans="1:24" x14ac:dyDescent="0.2">
      <c r="A20" s="1">
        <f t="shared" si="2"/>
        <v>1</v>
      </c>
      <c r="B20" s="16">
        <f t="shared" ref="B20:B77" si="6">IF(B19="","",IF((B19+1)&lt;=$C$6,B19+1,""))</f>
        <v>3</v>
      </c>
      <c r="C20" s="162">
        <f t="shared" ref="C20:C77" si="7">IF(B20="","",EDATE($C$18,(B20-1)))</f>
        <v>45381</v>
      </c>
      <c r="D20" s="6">
        <f>IFERROR(PPMT(Input!$E$35/12,B20,$C$6,Input!$E$34,-$C$13,0)," ")</f>
        <v>-5087.2771094911332</v>
      </c>
      <c r="E20" s="6">
        <f>IFERROR(IPMT(Input!$E$35/12,B20,$C$6,Input!$E$34,-$C$13,0)," ")</f>
        <v>-1256.1952014363455</v>
      </c>
      <c r="F20" s="6">
        <f t="shared" ref="F20:F73" si="8">IF(B20&lt;=$C$6,F19+D20,"")</f>
        <v>-15196.076778026778</v>
      </c>
      <c r="G20" s="6">
        <f t="shared" ref="G20:G73" si="9">IF(B20&lt;=$C$6,G19+E20,"")</f>
        <v>-3834.34015475566</v>
      </c>
      <c r="H20" s="6">
        <f t="shared" si="3"/>
        <v>-6343.4723109274782</v>
      </c>
      <c r="I20" s="6">
        <f t="shared" si="4"/>
        <v>284803.92322197324</v>
      </c>
      <c r="J20" s="6" t="str">
        <f>IF(B20&lt;&gt;"",IF(AND(Input!$H$34="Annual",MOD(B20,12)=0),Input!$J$34,IF(AND(Input!$H$34="1st Installment",B20=1),Input!$J$34,IF(Input!$H$34="Monthly",Input!$J$34,""))),"")</f>
        <v/>
      </c>
      <c r="K20" s="6" t="str">
        <f>IF(B20&lt;&gt;"",IF(AND(Input!$H$35="Annual",MOD(B20,12)=0),Input!$J$35,IF(AND(Input!$H$35="1st Installment",B20=1),Input!$J$35,IF(Input!$H$35="Monthly",Input!$J$35,""))),"")</f>
        <v/>
      </c>
      <c r="L20" s="6">
        <f>IF(B20&lt;=$C$6,(_xlfn.IFNA(IF(AND(Input!$H$36="1st Installment",B20=1),Input!$I$36,IF(Input!$H$36="Monthly",VLOOKUP(A20,Input!$G$41:$L$46,6,0),IF(Input!$H$36="Annual",VLOOKUP('Auto Finance'!B20,Input!$K$41:$L$46,2,0),""))),""))," ")</f>
        <v>920</v>
      </c>
      <c r="M20" s="6">
        <f>IF(B20&lt;&gt;"",IF(AND(Input!$H$37="Annual",MOD(B20,12)=0),Input!$J$37,IF(AND(Input!$H$37="1st Installment",B20=1),Input!$J$37,IF(Input!$H$37="Monthly",Input!$J$37,IF(AND(Input!$H$37="End of the loan",B20=Input!$E$39),Input!$J$37,"")))),"")</f>
        <v>0</v>
      </c>
      <c r="N20" s="6">
        <f t="shared" si="0"/>
        <v>920</v>
      </c>
      <c r="O20" s="4">
        <f t="shared" si="1"/>
        <v>7263.4723109274782</v>
      </c>
      <c r="S20" s="9">
        <f t="shared" ref="S20:S73" si="10">C20</f>
        <v>45381</v>
      </c>
      <c r="T20" s="5">
        <f t="shared" si="5"/>
        <v>7263.47</v>
      </c>
      <c r="U20" s="139"/>
      <c r="V20" s="106"/>
      <c r="W20" s="99"/>
    </row>
    <row r="21" spans="1:24" x14ac:dyDescent="0.2">
      <c r="A21" s="1">
        <f t="shared" si="2"/>
        <v>1</v>
      </c>
      <c r="B21" s="16">
        <f t="shared" si="6"/>
        <v>4</v>
      </c>
      <c r="C21" s="162">
        <f t="shared" si="7"/>
        <v>45412</v>
      </c>
      <c r="D21" s="6">
        <f>IFERROR(PPMT(Input!$E$35/12,B21,$C$6,Input!$E$34,-$C$13,0)," ")</f>
        <v>-5109.3219769655952</v>
      </c>
      <c r="E21" s="6">
        <f>IFERROR(IPMT(Input!$E$35/12,B21,$C$6,Input!$E$34,-$C$13,0)," ")</f>
        <v>-1234.1503339618839</v>
      </c>
      <c r="F21" s="6">
        <f t="shared" si="8"/>
        <v>-20305.398754992373</v>
      </c>
      <c r="G21" s="6">
        <f t="shared" si="9"/>
        <v>-5068.4904887175435</v>
      </c>
      <c r="H21" s="6">
        <f t="shared" si="3"/>
        <v>-6343.4723109274792</v>
      </c>
      <c r="I21" s="6">
        <f t="shared" si="4"/>
        <v>279694.60124500765</v>
      </c>
      <c r="J21" s="6" t="str">
        <f>IF(B21&lt;&gt;"",IF(AND(Input!$H$34="Annual",MOD(B21,12)=0),Input!$J$34,IF(AND(Input!$H$34="1st Installment",B21=1),Input!$J$34,IF(Input!$H$34="Monthly",Input!$J$34,""))),"")</f>
        <v/>
      </c>
      <c r="K21" s="6" t="str">
        <f>IF(B21&lt;&gt;"",IF(AND(Input!$H$35="Annual",MOD(B21,12)=0),Input!$J$35,IF(AND(Input!$H$35="1st Installment",B21=1),Input!$J$35,IF(Input!$H$35="Monthly",Input!$J$35,""))),"")</f>
        <v/>
      </c>
      <c r="L21" s="6">
        <f>IF(B21&lt;=$C$6,(_xlfn.IFNA(IF(AND(Input!$H$36="1st Installment",B21=1),Input!$I$36,IF(Input!$H$36="Monthly",VLOOKUP(A21,Input!$G$41:$L$46,6,0),IF(Input!$H$36="Annual",VLOOKUP('Auto Finance'!B21,Input!$K$41:$L$46,2,0),""))),""))," ")</f>
        <v>920</v>
      </c>
      <c r="M21" s="6">
        <f>IF(B21&lt;&gt;"",IF(AND(Input!$H$37="Annual",MOD(B21,12)=0),Input!$J$37,IF(AND(Input!$H$37="1st Installment",B21=1),Input!$J$37,IF(Input!$H$37="Monthly",Input!$J$37,IF(AND(Input!$H$37="End of the loan",B21=Input!$E$39),Input!$J$37,"")))),"")</f>
        <v>0</v>
      </c>
      <c r="N21" s="6">
        <f t="shared" si="0"/>
        <v>920</v>
      </c>
      <c r="O21" s="4">
        <f t="shared" si="1"/>
        <v>7263.4723109274792</v>
      </c>
      <c r="S21" s="9">
        <f t="shared" si="10"/>
        <v>45412</v>
      </c>
      <c r="T21" s="5">
        <f t="shared" si="5"/>
        <v>7263.47</v>
      </c>
      <c r="U21" s="139"/>
      <c r="V21" s="106"/>
      <c r="W21" s="99"/>
    </row>
    <row r="22" spans="1:24" x14ac:dyDescent="0.2">
      <c r="A22" s="1">
        <f t="shared" si="2"/>
        <v>1</v>
      </c>
      <c r="B22" s="16">
        <f t="shared" si="6"/>
        <v>5</v>
      </c>
      <c r="C22" s="162">
        <f t="shared" si="7"/>
        <v>45442</v>
      </c>
      <c r="D22" s="6">
        <f>IFERROR(PPMT(Input!$E$35/12,B22,$C$6,Input!$E$34,-$C$13,0)," ")</f>
        <v>-5131.4623721991138</v>
      </c>
      <c r="E22" s="6">
        <f>IFERROR(IPMT(Input!$E$35/12,B22,$C$6,Input!$E$34,-$C$13,0)," ")</f>
        <v>-1212.0099387283665</v>
      </c>
      <c r="F22" s="6">
        <f t="shared" si="8"/>
        <v>-25436.861127191485</v>
      </c>
      <c r="G22" s="6">
        <f t="shared" si="9"/>
        <v>-6280.5004274459097</v>
      </c>
      <c r="H22" s="6">
        <f t="shared" si="3"/>
        <v>-6343.4723109274801</v>
      </c>
      <c r="I22" s="6">
        <f t="shared" si="4"/>
        <v>274563.13887280854</v>
      </c>
      <c r="J22" s="6" t="str">
        <f>IF(B22&lt;&gt;"",IF(AND(Input!$H$34="Annual",MOD(B22,12)=0),Input!$J$34,IF(AND(Input!$H$34="1st Installment",B22=1),Input!$J$34,IF(Input!$H$34="Monthly",Input!$J$34,""))),"")</f>
        <v/>
      </c>
      <c r="K22" s="6" t="str">
        <f>IF(B22&lt;&gt;"",IF(AND(Input!$H$35="Annual",MOD(B22,12)=0),Input!$J$35,IF(AND(Input!$H$35="1st Installment",B22=1),Input!$J$35,IF(Input!$H$35="Monthly",Input!$J$35,""))),"")</f>
        <v/>
      </c>
      <c r="L22" s="6">
        <f>IF(B22&lt;=$C$6,(_xlfn.IFNA(IF(AND(Input!$H$36="1st Installment",B22=1),Input!$I$36,IF(Input!$H$36="Monthly",VLOOKUP(A22,Input!$G$41:$L$46,6,0),IF(Input!$H$36="Annual",VLOOKUP('Auto Finance'!B22,Input!$K$41:$L$46,2,0),""))),""))," ")</f>
        <v>920</v>
      </c>
      <c r="M22" s="6">
        <f>IF(B22&lt;&gt;"",IF(AND(Input!$H$37="Annual",MOD(B22,12)=0),Input!$J$37,IF(AND(Input!$H$37="1st Installment",B22=1),Input!$J$37,IF(Input!$H$37="Monthly",Input!$J$37,IF(AND(Input!$H$37="End of the loan",B22=Input!$E$39),Input!$J$37,"")))),"")</f>
        <v>0</v>
      </c>
      <c r="N22" s="6">
        <f t="shared" si="0"/>
        <v>920</v>
      </c>
      <c r="O22" s="4">
        <f t="shared" si="1"/>
        <v>7263.4723109274801</v>
      </c>
      <c r="S22" s="9">
        <f t="shared" si="10"/>
        <v>45442</v>
      </c>
      <c r="T22" s="5">
        <f t="shared" si="5"/>
        <v>7263.47</v>
      </c>
      <c r="U22" s="139"/>
      <c r="V22" s="106"/>
      <c r="W22" s="99"/>
    </row>
    <row r="23" spans="1:24" x14ac:dyDescent="0.2">
      <c r="A23" s="1">
        <f t="shared" si="2"/>
        <v>1</v>
      </c>
      <c r="B23" s="16">
        <f t="shared" si="6"/>
        <v>6</v>
      </c>
      <c r="C23" s="162">
        <f t="shared" si="7"/>
        <v>45473</v>
      </c>
      <c r="D23" s="6">
        <f>IFERROR(PPMT(Input!$E$35/12,B23,$C$6,Input!$E$34,-$C$13,0)," ")</f>
        <v>-5153.6987091453093</v>
      </c>
      <c r="E23" s="6">
        <f>IFERROR(IPMT(Input!$E$35/12,B23,$C$6,Input!$E$34,-$C$13,0)," ")</f>
        <v>-1189.7736017821703</v>
      </c>
      <c r="F23" s="6">
        <f t="shared" si="8"/>
        <v>-30590.559836336794</v>
      </c>
      <c r="G23" s="6">
        <f t="shared" si="9"/>
        <v>-7470.2740292280796</v>
      </c>
      <c r="H23" s="6">
        <f t="shared" si="3"/>
        <v>-6343.4723109274801</v>
      </c>
      <c r="I23" s="6">
        <f t="shared" si="4"/>
        <v>269409.44016366318</v>
      </c>
      <c r="J23" s="6" t="str">
        <f>IF(B23&lt;&gt;"",IF(AND(Input!$H$34="Annual",MOD(B23,12)=0),Input!$J$34,IF(AND(Input!$H$34="1st Installment",B23=1),Input!$J$34,IF(Input!$H$34="Monthly",Input!$J$34,""))),"")</f>
        <v/>
      </c>
      <c r="K23" s="6" t="str">
        <f>IF(B23&lt;&gt;"",IF(AND(Input!$H$35="Annual",MOD(B23,12)=0),Input!$J$35,IF(AND(Input!$H$35="1st Installment",B23=1),Input!$J$35,IF(Input!$H$35="Monthly",Input!$J$35,""))),"")</f>
        <v/>
      </c>
      <c r="L23" s="6">
        <f>IF(B23&lt;=$C$6,(_xlfn.IFNA(IF(AND(Input!$H$36="1st Installment",B23=1),Input!$I$36,IF(Input!$H$36="Monthly",VLOOKUP(A23,Input!$G$41:$L$46,6,0),IF(Input!$H$36="Annual",VLOOKUP('Auto Finance'!B23,Input!$K$41:$L$46,2,0),""))),""))," ")</f>
        <v>920</v>
      </c>
      <c r="M23" s="6">
        <f>IF(B23&lt;&gt;"",IF(AND(Input!$H$37="Annual",MOD(B23,12)=0),Input!$J$37,IF(AND(Input!$H$37="1st Installment",B23=1),Input!$J$37,IF(Input!$H$37="Monthly",Input!$J$37,IF(AND(Input!$H$37="End of the loan",B23=Input!$E$39),Input!$J$37,"")))),"")</f>
        <v>0</v>
      </c>
      <c r="N23" s="6">
        <f t="shared" si="0"/>
        <v>920</v>
      </c>
      <c r="O23" s="4">
        <f t="shared" si="1"/>
        <v>7263.4723109274801</v>
      </c>
      <c r="S23" s="9">
        <f t="shared" si="10"/>
        <v>45473</v>
      </c>
      <c r="T23" s="5">
        <f t="shared" si="5"/>
        <v>7263.47</v>
      </c>
      <c r="U23" s="139"/>
      <c r="V23" s="106"/>
      <c r="W23" s="99"/>
    </row>
    <row r="24" spans="1:24" x14ac:dyDescent="0.2">
      <c r="A24" s="1">
        <f t="shared" si="2"/>
        <v>1</v>
      </c>
      <c r="B24" s="16">
        <f t="shared" si="6"/>
        <v>7</v>
      </c>
      <c r="C24" s="162">
        <f t="shared" si="7"/>
        <v>45503</v>
      </c>
      <c r="D24" s="6">
        <f>IFERROR(PPMT(Input!$E$35/12,B24,$C$6,Input!$E$34,-$C$13,0)," ")</f>
        <v>-5176.0314035516049</v>
      </c>
      <c r="E24" s="6">
        <f>IFERROR(IPMT(Input!$E$35/12,B24,$C$6,Input!$E$34,-$C$13,0)," ")</f>
        <v>-1167.4409073758741</v>
      </c>
      <c r="F24" s="6">
        <f t="shared" si="8"/>
        <v>-35766.591239888396</v>
      </c>
      <c r="G24" s="6">
        <f t="shared" si="9"/>
        <v>-8637.7149366039539</v>
      </c>
      <c r="H24" s="6">
        <f t="shared" si="3"/>
        <v>-6343.4723109274792</v>
      </c>
      <c r="I24" s="6">
        <f t="shared" si="4"/>
        <v>264233.4087601116</v>
      </c>
      <c r="J24" s="6" t="str">
        <f>IF(B24&lt;&gt;"",IF(AND(Input!$H$34="Annual",MOD(B24,12)=0),Input!$J$34,IF(AND(Input!$H$34="1st Installment",B24=1),Input!$J$34,IF(Input!$H$34="Monthly",Input!$J$34,""))),"")</f>
        <v/>
      </c>
      <c r="K24" s="6" t="str">
        <f>IF(B24&lt;&gt;"",IF(AND(Input!$H$35="Annual",MOD(B24,12)=0),Input!$J$35,IF(AND(Input!$H$35="1st Installment",B24=1),Input!$J$35,IF(Input!$H$35="Monthly",Input!$J$35,""))),"")</f>
        <v/>
      </c>
      <c r="L24" s="6">
        <f>IF(B24&lt;=$C$6,(_xlfn.IFNA(IF(AND(Input!$H$36="1st Installment",B24=1),Input!$I$36,IF(Input!$H$36="Monthly",VLOOKUP(A24,Input!$G$41:$L$46,6,0),IF(Input!$H$36="Annual",VLOOKUP('Auto Finance'!B24,Input!$K$41:$L$46,2,0),""))),""))," ")</f>
        <v>920</v>
      </c>
      <c r="M24" s="6">
        <f>IF(B24&lt;&gt;"",IF(AND(Input!$H$37="Annual",MOD(B24,12)=0),Input!$J$37,IF(AND(Input!$H$37="1st Installment",B24=1),Input!$J$37,IF(Input!$H$37="Monthly",Input!$J$37,IF(AND(Input!$H$37="End of the loan",B24=Input!$E$39),Input!$J$37,"")))),"")</f>
        <v>0</v>
      </c>
      <c r="N24" s="6">
        <f t="shared" si="0"/>
        <v>920</v>
      </c>
      <c r="O24" s="4">
        <f t="shared" si="1"/>
        <v>7263.4723109274792</v>
      </c>
      <c r="S24" s="9">
        <f t="shared" si="10"/>
        <v>45503</v>
      </c>
      <c r="T24" s="5">
        <f t="shared" si="5"/>
        <v>7263.47</v>
      </c>
      <c r="U24" s="139"/>
      <c r="V24" s="106"/>
      <c r="W24" s="99"/>
    </row>
    <row r="25" spans="1:24" x14ac:dyDescent="0.2">
      <c r="A25" s="1">
        <f t="shared" si="2"/>
        <v>1</v>
      </c>
      <c r="B25" s="16">
        <f t="shared" si="6"/>
        <v>8</v>
      </c>
      <c r="C25" s="162">
        <f t="shared" si="7"/>
        <v>45534</v>
      </c>
      <c r="D25" s="6">
        <f>IFERROR(PPMT(Input!$E$35/12,B25,$C$6,Input!$E$34,-$C$13,0)," ")</f>
        <v>-5198.4608729669962</v>
      </c>
      <c r="E25" s="6">
        <f>IFERROR(IPMT(Input!$E$35/12,B25,$C$6,Input!$E$34,-$C$13,0)," ")</f>
        <v>-1145.0114379604836</v>
      </c>
      <c r="F25" s="6">
        <f t="shared" si="8"/>
        <v>-40965.052112855396</v>
      </c>
      <c r="G25" s="6">
        <f t="shared" si="9"/>
        <v>-9782.7263745644377</v>
      </c>
      <c r="H25" s="6">
        <f t="shared" si="3"/>
        <v>-6343.4723109274801</v>
      </c>
      <c r="I25" s="6">
        <f t="shared" si="4"/>
        <v>259034.9478871446</v>
      </c>
      <c r="J25" s="6" t="str">
        <f>IF(B25&lt;&gt;"",IF(AND(Input!$H$34="Annual",MOD(B25,12)=0),Input!$J$34,IF(AND(Input!$H$34="1st Installment",B25=1),Input!$J$34,IF(Input!$H$34="Monthly",Input!$J$34,""))),"")</f>
        <v/>
      </c>
      <c r="K25" s="6" t="str">
        <f>IF(B25&lt;&gt;"",IF(AND(Input!$H$35="Annual",MOD(B25,12)=0),Input!$J$35,IF(AND(Input!$H$35="1st Installment",B25=1),Input!$J$35,IF(Input!$H$35="Monthly",Input!$J$35,""))),"")</f>
        <v/>
      </c>
      <c r="L25" s="6">
        <f>IF(B25&lt;=$C$6,(_xlfn.IFNA(IF(AND(Input!$H$36="1st Installment",B25=1),Input!$I$36,IF(Input!$H$36="Monthly",VLOOKUP(A25,Input!$G$41:$L$46,6,0),IF(Input!$H$36="Annual",VLOOKUP('Auto Finance'!B25,Input!$K$41:$L$46,2,0),""))),""))," ")</f>
        <v>920</v>
      </c>
      <c r="M25" s="6">
        <f>IF(B25&lt;&gt;"",IF(AND(Input!$H$37="Annual",MOD(B25,12)=0),Input!$J$37,IF(AND(Input!$H$37="1st Installment",B25=1),Input!$J$37,IF(Input!$H$37="Monthly",Input!$J$37,IF(AND(Input!$H$37="End of the loan",B25=Input!$E$39),Input!$J$37,"")))),"")</f>
        <v>0</v>
      </c>
      <c r="N25" s="6">
        <f t="shared" si="0"/>
        <v>920</v>
      </c>
      <c r="O25" s="4">
        <f t="shared" si="1"/>
        <v>7263.4723109274801</v>
      </c>
      <c r="S25" s="9">
        <f t="shared" si="10"/>
        <v>45534</v>
      </c>
      <c r="T25" s="5">
        <f t="shared" si="5"/>
        <v>7263.47</v>
      </c>
      <c r="U25" s="139"/>
      <c r="V25" s="106"/>
      <c r="W25" s="99"/>
    </row>
    <row r="26" spans="1:24" x14ac:dyDescent="0.2">
      <c r="A26" s="1">
        <f t="shared" si="2"/>
        <v>1</v>
      </c>
      <c r="B26" s="16">
        <f t="shared" si="6"/>
        <v>9</v>
      </c>
      <c r="C26" s="162">
        <f t="shared" si="7"/>
        <v>45565</v>
      </c>
      <c r="D26" s="6">
        <f>IFERROR(PPMT(Input!$E$35/12,B26,$C$6,Input!$E$34,-$C$13,0)," ")</f>
        <v>-5220.9875367498516</v>
      </c>
      <c r="E26" s="6">
        <f>IFERROR(IPMT(Input!$E$35/12,B26,$C$6,Input!$E$34,-$C$13,0)," ")</f>
        <v>-1122.4847741776266</v>
      </c>
      <c r="F26" s="6">
        <f t="shared" si="8"/>
        <v>-46186.039649605249</v>
      </c>
      <c r="G26" s="6">
        <f t="shared" si="9"/>
        <v>-10905.211148742064</v>
      </c>
      <c r="H26" s="6">
        <f t="shared" si="3"/>
        <v>-6343.4723109274782</v>
      </c>
      <c r="I26" s="6">
        <f t="shared" si="4"/>
        <v>253813.96035039474</v>
      </c>
      <c r="J26" s="6" t="str">
        <f>IF(B26&lt;&gt;"",IF(AND(Input!$H$34="Annual",MOD(B26,12)=0),Input!$J$34,IF(AND(Input!$H$34="1st Installment",B26=1),Input!$J$34,IF(Input!$H$34="Monthly",Input!$J$34,""))),"")</f>
        <v/>
      </c>
      <c r="K26" s="6" t="str">
        <f>IF(B26&lt;&gt;"",IF(AND(Input!$H$35="Annual",MOD(B26,12)=0),Input!$J$35,IF(AND(Input!$H$35="1st Installment",B26=1),Input!$J$35,IF(Input!$H$35="Monthly",Input!$J$35,""))),"")</f>
        <v/>
      </c>
      <c r="L26" s="6">
        <f>IF(B26&lt;=$C$6,(_xlfn.IFNA(IF(AND(Input!$H$36="1st Installment",B26=1),Input!$I$36,IF(Input!$H$36="Monthly",VLOOKUP(A26,Input!$G$41:$L$46,6,0),IF(Input!$H$36="Annual",VLOOKUP('Auto Finance'!B26,Input!$K$41:$L$46,2,0),""))),""))," ")</f>
        <v>920</v>
      </c>
      <c r="M26" s="6">
        <f>IF(B26&lt;&gt;"",IF(AND(Input!$H$37="Annual",MOD(B26,12)=0),Input!$J$37,IF(AND(Input!$H$37="1st Installment",B26=1),Input!$J$37,IF(Input!$H$37="Monthly",Input!$J$37,IF(AND(Input!$H$37="End of the loan",B26=Input!$E$39),Input!$J$37,"")))),"")</f>
        <v>0</v>
      </c>
      <c r="N26" s="6">
        <f t="shared" si="0"/>
        <v>920</v>
      </c>
      <c r="O26" s="4">
        <f t="shared" si="1"/>
        <v>7263.4723109274782</v>
      </c>
      <c r="S26" s="9">
        <f t="shared" si="10"/>
        <v>45565</v>
      </c>
      <c r="T26" s="5">
        <f t="shared" si="5"/>
        <v>7263.47</v>
      </c>
      <c r="U26" s="139"/>
      <c r="V26" s="106"/>
      <c r="W26" s="99"/>
    </row>
    <row r="27" spans="1:24" x14ac:dyDescent="0.2">
      <c r="A27" s="1">
        <f t="shared" si="2"/>
        <v>1</v>
      </c>
      <c r="B27" s="16">
        <f t="shared" si="6"/>
        <v>10</v>
      </c>
      <c r="C27" s="162">
        <f t="shared" si="7"/>
        <v>45595</v>
      </c>
      <c r="D27" s="6">
        <f>IFERROR(PPMT(Input!$E$35/12,B27,$C$6,Input!$E$34,-$C$13,0)," ")</f>
        <v>-5243.6118160757687</v>
      </c>
      <c r="E27" s="6">
        <f>IFERROR(IPMT(Input!$E$35/12,B27,$C$6,Input!$E$34,-$C$13,0)," ")</f>
        <v>-1099.8604948517107</v>
      </c>
      <c r="F27" s="6">
        <f t="shared" si="8"/>
        <v>-51429.651465681018</v>
      </c>
      <c r="G27" s="6">
        <f t="shared" si="9"/>
        <v>-12005.071643593776</v>
      </c>
      <c r="H27" s="6">
        <f t="shared" si="3"/>
        <v>-6343.4723109274792</v>
      </c>
      <c r="I27" s="6">
        <f t="shared" si="4"/>
        <v>248570.34853431897</v>
      </c>
      <c r="J27" s="6" t="str">
        <f>IF(B27&lt;&gt;"",IF(AND(Input!$H$34="Annual",MOD(B27,12)=0),Input!$J$34,IF(AND(Input!$H$34="1st Installment",B27=1),Input!$J$34,IF(Input!$H$34="Monthly",Input!$J$34,""))),"")</f>
        <v/>
      </c>
      <c r="K27" s="6" t="str">
        <f>IF(B27&lt;&gt;"",IF(AND(Input!$H$35="Annual",MOD(B27,12)=0),Input!$J$35,IF(AND(Input!$H$35="1st Installment",B27=1),Input!$J$35,IF(Input!$H$35="Monthly",Input!$J$35,""))),"")</f>
        <v/>
      </c>
      <c r="L27" s="6">
        <f>IF(B27&lt;=$C$6,(_xlfn.IFNA(IF(AND(Input!$H$36="1st Installment",B27=1),Input!$I$36,IF(Input!$H$36="Monthly",VLOOKUP(A27,Input!$G$41:$L$46,6,0),IF(Input!$H$36="Annual",VLOOKUP('Auto Finance'!B27,Input!$K$41:$L$46,2,0),""))),""))," ")</f>
        <v>920</v>
      </c>
      <c r="M27" s="6">
        <f>IF(B27&lt;&gt;"",IF(AND(Input!$H$37="Annual",MOD(B27,12)=0),Input!$J$37,IF(AND(Input!$H$37="1st Installment",B27=1),Input!$J$37,IF(Input!$H$37="Monthly",Input!$J$37,IF(AND(Input!$H$37="End of the loan",B27=Input!$E$39),Input!$J$37,"")))),"")</f>
        <v>0</v>
      </c>
      <c r="N27" s="6">
        <f t="shared" si="0"/>
        <v>920</v>
      </c>
      <c r="O27" s="4">
        <f t="shared" si="1"/>
        <v>7263.4723109274792</v>
      </c>
      <c r="S27" s="9">
        <f t="shared" si="10"/>
        <v>45595</v>
      </c>
      <c r="T27" s="5">
        <f t="shared" si="5"/>
        <v>7263.47</v>
      </c>
      <c r="U27" s="139"/>
      <c r="V27" s="106"/>
      <c r="W27" s="99"/>
    </row>
    <row r="28" spans="1:24" x14ac:dyDescent="0.2">
      <c r="A28" s="1">
        <f t="shared" si="2"/>
        <v>1</v>
      </c>
      <c r="B28" s="16">
        <f t="shared" si="6"/>
        <v>11</v>
      </c>
      <c r="C28" s="162">
        <f t="shared" si="7"/>
        <v>45626</v>
      </c>
      <c r="D28" s="6">
        <f>IFERROR(PPMT(Input!$E$35/12,B28,$C$6,Input!$E$34,-$C$13,0)," ")</f>
        <v>-5266.3341339454309</v>
      </c>
      <c r="E28" s="6">
        <f>IFERROR(IPMT(Input!$E$35/12,B28,$C$6,Input!$E$34,-$C$13,0)," ")</f>
        <v>-1077.1381769820489</v>
      </c>
      <c r="F28" s="6">
        <f t="shared" si="8"/>
        <v>-56695.985599626452</v>
      </c>
      <c r="G28" s="6">
        <f t="shared" si="9"/>
        <v>-13082.209820575825</v>
      </c>
      <c r="H28" s="6">
        <f t="shared" si="3"/>
        <v>-6343.4723109274801</v>
      </c>
      <c r="I28" s="6">
        <f t="shared" si="4"/>
        <v>243304.01440037356</v>
      </c>
      <c r="J28" s="6" t="str">
        <f>IF(B28&lt;&gt;"",IF(AND(Input!$H$34="Annual",MOD(B28,12)=0),Input!$J$34,IF(AND(Input!$H$34="1st Installment",B28=1),Input!$J$34,IF(Input!$H$34="Monthly",Input!$J$34,""))),"")</f>
        <v/>
      </c>
      <c r="K28" s="6" t="str">
        <f>IF(B28&lt;&gt;"",IF(AND(Input!$H$35="Annual",MOD(B28,12)=0),Input!$J$35,IF(AND(Input!$H$35="1st Installment",B28=1),Input!$J$35,IF(Input!$H$35="Monthly",Input!$J$35,""))),"")</f>
        <v/>
      </c>
      <c r="L28" s="6">
        <f>IF(B28&lt;=$C$6,(_xlfn.IFNA(IF(AND(Input!$H$36="1st Installment",B28=1),Input!$I$36,IF(Input!$H$36="Monthly",VLOOKUP(A28,Input!$G$41:$L$46,6,0),IF(Input!$H$36="Annual",VLOOKUP('Auto Finance'!B28,Input!$K$41:$L$46,2,0),""))),""))," ")</f>
        <v>920</v>
      </c>
      <c r="M28" s="6">
        <f>IF(B28&lt;&gt;"",IF(AND(Input!$H$37="Annual",MOD(B28,12)=0),Input!$J$37,IF(AND(Input!$H$37="1st Installment",B28=1),Input!$J$37,IF(Input!$H$37="Monthly",Input!$J$37,IF(AND(Input!$H$37="End of the loan",B28=Input!$E$39),Input!$J$37,"")))),"")</f>
        <v>0</v>
      </c>
      <c r="N28" s="6">
        <f t="shared" si="0"/>
        <v>920</v>
      </c>
      <c r="O28" s="4">
        <f t="shared" si="1"/>
        <v>7263.4723109274801</v>
      </c>
      <c r="S28" s="9">
        <f t="shared" si="10"/>
        <v>45626</v>
      </c>
      <c r="T28" s="5">
        <f t="shared" si="5"/>
        <v>7263.47</v>
      </c>
      <c r="U28" s="139"/>
      <c r="V28" s="106"/>
      <c r="W28" s="99"/>
    </row>
    <row r="29" spans="1:24" x14ac:dyDescent="0.2">
      <c r="A29" s="1">
        <f t="shared" si="2"/>
        <v>1</v>
      </c>
      <c r="B29" s="16">
        <f t="shared" si="6"/>
        <v>12</v>
      </c>
      <c r="C29" s="162">
        <f t="shared" si="7"/>
        <v>45656</v>
      </c>
      <c r="D29" s="6">
        <f>IFERROR(PPMT(Input!$E$35/12,B29,$C$6,Input!$E$34,-$C$13,0)," ")</f>
        <v>-5289.1549151925265</v>
      </c>
      <c r="E29" s="6">
        <f>IFERROR(IPMT(Input!$E$35/12,B29,$C$6,Input!$E$34,-$C$13,0)," ")</f>
        <v>-1054.317395734952</v>
      </c>
      <c r="F29" s="6">
        <f t="shared" si="8"/>
        <v>-61985.140514818981</v>
      </c>
      <c r="G29" s="6">
        <f t="shared" si="9"/>
        <v>-14136.527216310777</v>
      </c>
      <c r="H29" s="6">
        <f t="shared" si="3"/>
        <v>-6343.4723109274782</v>
      </c>
      <c r="I29" s="6">
        <f t="shared" si="4"/>
        <v>238014.85948518102</v>
      </c>
      <c r="J29" s="6" t="str">
        <f>IF(B29&lt;&gt;"",IF(AND(Input!$H$34="Annual",MOD(B29,12)=0),Input!$J$34,IF(AND(Input!$H$34="1st Installment",B29=1),Input!$J$34,IF(Input!$H$34="Monthly",Input!$J$34,""))),"")</f>
        <v/>
      </c>
      <c r="K29" s="6">
        <f>IF(B29&lt;&gt;"",IF(AND(Input!$H$35="Annual",MOD(B29,12)=0),Input!$J$35,IF(AND(Input!$H$35="1st Installment",B29=1),Input!$J$35,IF(Input!$H$35="Monthly",Input!$J$35,""))),"")</f>
        <v>0</v>
      </c>
      <c r="L29" s="6">
        <f>IF(B29&lt;=$C$6,(_xlfn.IFNA(IF(AND(Input!$H$36="1st Installment",B29=1),Input!$I$36,IF(Input!$H$36="Monthly",VLOOKUP(A29,Input!$G$41:$L$46,6,0),IF(Input!$H$36="Annual",VLOOKUP('Auto Finance'!B29,Input!$K$41:$L$46,2,0),""))),""))," ")</f>
        <v>920</v>
      </c>
      <c r="M29" s="6">
        <f>IF(B29&lt;&gt;"",IF(AND(Input!$H$37="Annual",MOD(B29,12)=0),Input!$J$37,IF(AND(Input!$H$37="1st Installment",B29=1),Input!$J$37,IF(Input!$H$37="Monthly",Input!$J$37,IF(AND(Input!$H$37="End of the loan",B29=Input!$E$39),Input!$J$37,"")))),"")</f>
        <v>0</v>
      </c>
      <c r="N29" s="6">
        <f t="shared" si="0"/>
        <v>920</v>
      </c>
      <c r="O29" s="4">
        <f t="shared" si="1"/>
        <v>7263.4723109274782</v>
      </c>
      <c r="S29" s="9">
        <f t="shared" si="10"/>
        <v>45656</v>
      </c>
      <c r="T29" s="5">
        <f t="shared" si="5"/>
        <v>7263.47</v>
      </c>
      <c r="U29" s="139"/>
      <c r="V29" s="106"/>
      <c r="W29" s="99"/>
    </row>
    <row r="30" spans="1:24" x14ac:dyDescent="0.2">
      <c r="A30" s="1">
        <f>IF(B30&lt;&gt;"",2,"")</f>
        <v>2</v>
      </c>
      <c r="B30" s="16">
        <f t="shared" si="6"/>
        <v>13</v>
      </c>
      <c r="C30" s="162">
        <f t="shared" si="7"/>
        <v>45687</v>
      </c>
      <c r="D30" s="6">
        <f>IFERROR(PPMT(Input!$E$35/12,B30,$C$6,Input!$E$34,-$C$13,0)," ")</f>
        <v>-5312.0745864916944</v>
      </c>
      <c r="E30" s="6">
        <f>IFERROR(IPMT(Input!$E$35/12,B30,$C$6,Input!$E$34,-$C$13,0)," ")</f>
        <v>-1031.3977244357843</v>
      </c>
      <c r="F30" s="6">
        <f t="shared" si="8"/>
        <v>-67297.215101310678</v>
      </c>
      <c r="G30" s="6">
        <f t="shared" si="9"/>
        <v>-15167.924940746561</v>
      </c>
      <c r="H30" s="6">
        <f t="shared" si="3"/>
        <v>-6343.4723109274782</v>
      </c>
      <c r="I30" s="6">
        <f t="shared" si="4"/>
        <v>232702.78489868931</v>
      </c>
      <c r="J30" s="6" t="str">
        <f>IF(B30&lt;&gt;"",IF(AND(Input!$H$34="Annual",MOD(B30,12)=0),Input!$J$34,IF(AND(Input!$H$34="1st Installment",B30=1),Input!$J$34,IF(Input!$H$34="Monthly",Input!$J$34,""))),"")</f>
        <v/>
      </c>
      <c r="K30" s="6" t="str">
        <f>IF(B30&lt;&gt;"",IF(AND(Input!$H$35="Annual",MOD(B30,12)=0),Input!$J$35,IF(AND(Input!$H$35="1st Installment",B30=1),Input!$J$35,IF(Input!$H$35="Monthly",Input!$J$35,""))),"")</f>
        <v/>
      </c>
      <c r="L30" s="6">
        <f>IF(B30&lt;=$C$6,(_xlfn.IFNA(IF(AND(Input!$H$36="1st Installment",B30=1),Input!$I$36,IF(Input!$H$36="Monthly",VLOOKUP(A30,Input!$G$41:$L$46,6,0),IF(Input!$H$36="Annual",VLOOKUP('Auto Finance'!B30,Input!$K$41:$L$46,2,0),""))),""))," ")</f>
        <v>736</v>
      </c>
      <c r="M30" s="6">
        <f>IF(B30&lt;&gt;"",IF(AND(Input!$H$37="Annual",MOD(B30,12)=0),Input!$J$37,IF(AND(Input!$H$37="1st Installment",B30=1),Input!$J$37,IF(Input!$H$37="Monthly",Input!$J$37,IF(AND(Input!$H$37="End of the loan",B30=Input!$E$39),Input!$J$37,"")))),"")</f>
        <v>0</v>
      </c>
      <c r="N30" s="6">
        <f t="shared" si="0"/>
        <v>736</v>
      </c>
      <c r="O30" s="4">
        <f t="shared" si="1"/>
        <v>7079.4723109274782</v>
      </c>
      <c r="S30" s="9">
        <f t="shared" si="10"/>
        <v>45687</v>
      </c>
      <c r="T30" s="5">
        <f t="shared" si="5"/>
        <v>7079.47</v>
      </c>
      <c r="U30" s="139"/>
      <c r="V30" s="106"/>
      <c r="W30" s="99"/>
    </row>
    <row r="31" spans="1:24" x14ac:dyDescent="0.2">
      <c r="A31" s="1">
        <f t="shared" ref="A31:A41" si="11">IF(B31&lt;&gt;"",2,"")</f>
        <v>2</v>
      </c>
      <c r="B31" s="16">
        <f t="shared" si="6"/>
        <v>14</v>
      </c>
      <c r="C31" s="162">
        <f t="shared" si="7"/>
        <v>45716</v>
      </c>
      <c r="D31" s="6">
        <f>IFERROR(PPMT(Input!$E$35/12,B31,$C$6,Input!$E$34,-$C$13,0)," ")</f>
        <v>-5335.0935763664929</v>
      </c>
      <c r="E31" s="6">
        <f>IFERROR(IPMT(Input!$E$35/12,B31,$C$6,Input!$E$34,-$C$13,0)," ")</f>
        <v>-1008.3787345609873</v>
      </c>
      <c r="F31" s="6">
        <f t="shared" si="8"/>
        <v>-72632.308677677167</v>
      </c>
      <c r="G31" s="6">
        <f t="shared" si="9"/>
        <v>-16176.303675307548</v>
      </c>
      <c r="H31" s="6">
        <f t="shared" si="3"/>
        <v>-6343.4723109274801</v>
      </c>
      <c r="I31" s="6">
        <f t="shared" si="4"/>
        <v>227367.69132232282</v>
      </c>
      <c r="J31" s="6" t="str">
        <f>IF(B31&lt;&gt;"",IF(AND(Input!$H$34="Annual",MOD(B31,12)=0),Input!$J$34,IF(AND(Input!$H$34="1st Installment",B31=1),Input!$J$34,IF(Input!$H$34="Monthly",Input!$J$34,""))),"")</f>
        <v/>
      </c>
      <c r="K31" s="6" t="str">
        <f>IF(B31&lt;&gt;"",IF(AND(Input!$H$35="Annual",MOD(B31,12)=0),Input!$J$35,IF(AND(Input!$H$35="1st Installment",B31=1),Input!$J$35,IF(Input!$H$35="Monthly",Input!$J$35,""))),"")</f>
        <v/>
      </c>
      <c r="L31" s="6">
        <f>IF(B31&lt;=$C$6,(_xlfn.IFNA(IF(AND(Input!$H$36="1st Installment",B31=1),Input!$I$36,IF(Input!$H$36="Monthly",VLOOKUP(A31,Input!$G$41:$L$46,6,0),IF(Input!$H$36="Annual",VLOOKUP('Auto Finance'!B31,Input!$K$41:$L$46,2,0),""))),""))," ")</f>
        <v>736</v>
      </c>
      <c r="M31" s="6">
        <f>IF(B31&lt;&gt;"",IF(AND(Input!$H$37="Annual",MOD(B31,12)=0),Input!$J$37,IF(AND(Input!$H$37="1st Installment",B31=1),Input!$J$37,IF(Input!$H$37="Monthly",Input!$J$37,IF(AND(Input!$H$37="End of the loan",B31=Input!$E$39),Input!$J$37,"")))),"")</f>
        <v>0</v>
      </c>
      <c r="N31" s="6">
        <f t="shared" si="0"/>
        <v>736</v>
      </c>
      <c r="O31" s="4">
        <f t="shared" si="1"/>
        <v>7079.4723109274801</v>
      </c>
      <c r="S31" s="9">
        <f t="shared" si="10"/>
        <v>45716</v>
      </c>
      <c r="T31" s="5">
        <f t="shared" si="5"/>
        <v>7079.47</v>
      </c>
      <c r="U31" s="139"/>
      <c r="V31" s="106"/>
      <c r="W31" s="99"/>
    </row>
    <row r="32" spans="1:24" x14ac:dyDescent="0.2">
      <c r="A32" s="1">
        <f t="shared" si="11"/>
        <v>2</v>
      </c>
      <c r="B32" s="16">
        <f t="shared" si="6"/>
        <v>15</v>
      </c>
      <c r="C32" s="162">
        <f t="shared" si="7"/>
        <v>45746</v>
      </c>
      <c r="D32" s="6">
        <f>IFERROR(PPMT(Input!$E$35/12,B32,$C$6,Input!$E$34,-$C$13,0)," ")</f>
        <v>-5358.2123151974129</v>
      </c>
      <c r="E32" s="6">
        <f>IFERROR(IPMT(Input!$E$35/12,B32,$C$6,Input!$E$34,-$C$13,0)," ")</f>
        <v>-985.25999573006561</v>
      </c>
      <c r="F32" s="6">
        <f t="shared" si="8"/>
        <v>-77990.520992874575</v>
      </c>
      <c r="G32" s="6">
        <f t="shared" si="9"/>
        <v>-17161.563671037613</v>
      </c>
      <c r="H32" s="6">
        <f t="shared" si="3"/>
        <v>-6343.4723109274782</v>
      </c>
      <c r="I32" s="6">
        <f t="shared" si="4"/>
        <v>222009.47900712542</v>
      </c>
      <c r="J32" s="6" t="str">
        <f>IF(B32&lt;&gt;"",IF(AND(Input!$H$34="Annual",MOD(B32,12)=0),Input!$J$34,IF(AND(Input!$H$34="1st Installment",B32=1),Input!$J$34,IF(Input!$H$34="Monthly",Input!$J$34,""))),"")</f>
        <v/>
      </c>
      <c r="K32" s="6" t="str">
        <f>IF(B32&lt;&gt;"",IF(AND(Input!$H$35="Annual",MOD(B32,12)=0),Input!$J$35,IF(AND(Input!$H$35="1st Installment",B32=1),Input!$J$35,IF(Input!$H$35="Monthly",Input!$J$35,""))),"")</f>
        <v/>
      </c>
      <c r="L32" s="6">
        <f>IF(B32&lt;=$C$6,(_xlfn.IFNA(IF(AND(Input!$H$36="1st Installment",B32=1),Input!$I$36,IF(Input!$H$36="Monthly",VLOOKUP(A32,Input!$G$41:$L$46,6,0),IF(Input!$H$36="Annual",VLOOKUP('Auto Finance'!B32,Input!$K$41:$L$46,2,0),""))),""))," ")</f>
        <v>736</v>
      </c>
      <c r="M32" s="6">
        <f>IF(B32&lt;&gt;"",IF(AND(Input!$H$37="Annual",MOD(B32,12)=0),Input!$J$37,IF(AND(Input!$H$37="1st Installment",B32=1),Input!$J$37,IF(Input!$H$37="Monthly",Input!$J$37,IF(AND(Input!$H$37="End of the loan",B32=Input!$E$39),Input!$J$37,"")))),"")</f>
        <v>0</v>
      </c>
      <c r="N32" s="6">
        <f t="shared" si="0"/>
        <v>736</v>
      </c>
      <c r="O32" s="4">
        <f t="shared" si="1"/>
        <v>7079.4723109274782</v>
      </c>
      <c r="S32" s="9">
        <f t="shared" si="10"/>
        <v>45746</v>
      </c>
      <c r="T32" s="5">
        <f t="shared" si="5"/>
        <v>7079.47</v>
      </c>
      <c r="U32" s="139"/>
      <c r="V32" s="106"/>
      <c r="W32" s="99"/>
    </row>
    <row r="33" spans="1:23" x14ac:dyDescent="0.2">
      <c r="A33" s="1">
        <f t="shared" si="11"/>
        <v>2</v>
      </c>
      <c r="B33" s="16">
        <f t="shared" si="6"/>
        <v>16</v>
      </c>
      <c r="C33" s="162">
        <f t="shared" si="7"/>
        <v>45777</v>
      </c>
      <c r="D33" s="6">
        <f>IFERROR(PPMT(Input!$E$35/12,B33,$C$6,Input!$E$34,-$C$13,0)," ")</f>
        <v>-5381.4312352299357</v>
      </c>
      <c r="E33" s="6">
        <f>IFERROR(IPMT(Input!$E$35/12,B33,$C$6,Input!$E$34,-$C$13,0)," ")</f>
        <v>-962.04107569754342</v>
      </c>
      <c r="F33" s="6">
        <f t="shared" si="8"/>
        <v>-83371.952228104507</v>
      </c>
      <c r="G33" s="6">
        <f t="shared" si="9"/>
        <v>-18123.604746735156</v>
      </c>
      <c r="H33" s="6">
        <f t="shared" si="3"/>
        <v>-6343.4723109274792</v>
      </c>
      <c r="I33" s="6">
        <f t="shared" si="4"/>
        <v>216628.04777189548</v>
      </c>
      <c r="J33" s="6" t="str">
        <f>IF(B33&lt;&gt;"",IF(AND(Input!$H$34="Annual",MOD(B33,12)=0),Input!$J$34,IF(AND(Input!$H$34="1st Installment",B33=1),Input!$J$34,IF(Input!$H$34="Monthly",Input!$J$34,""))),"")</f>
        <v/>
      </c>
      <c r="K33" s="6" t="str">
        <f>IF(B33&lt;&gt;"",IF(AND(Input!$H$35="Annual",MOD(B33,12)=0),Input!$J$35,IF(AND(Input!$H$35="1st Installment",B33=1),Input!$J$35,IF(Input!$H$35="Monthly",Input!$J$35,""))),"")</f>
        <v/>
      </c>
      <c r="L33" s="6">
        <f>IF(B33&lt;=$C$6,(_xlfn.IFNA(IF(AND(Input!$H$36="1st Installment",B33=1),Input!$I$36,IF(Input!$H$36="Monthly",VLOOKUP(A33,Input!$G$41:$L$46,6,0),IF(Input!$H$36="Annual",VLOOKUP('Auto Finance'!B33,Input!$K$41:$L$46,2,0),""))),""))," ")</f>
        <v>736</v>
      </c>
      <c r="M33" s="6">
        <f>IF(B33&lt;&gt;"",IF(AND(Input!$H$37="Annual",MOD(B33,12)=0),Input!$J$37,IF(AND(Input!$H$37="1st Installment",B33=1),Input!$J$37,IF(Input!$H$37="Monthly",Input!$J$37,IF(AND(Input!$H$37="End of the loan",B33=Input!$E$39),Input!$J$37,"")))),"")</f>
        <v>0</v>
      </c>
      <c r="N33" s="6">
        <f t="shared" si="0"/>
        <v>736</v>
      </c>
      <c r="O33" s="4">
        <f t="shared" si="1"/>
        <v>7079.4723109274792</v>
      </c>
      <c r="S33" s="9">
        <f t="shared" si="10"/>
        <v>45777</v>
      </c>
      <c r="T33" s="5">
        <f t="shared" si="5"/>
        <v>7079.47</v>
      </c>
      <c r="U33" s="139"/>
      <c r="V33" s="106"/>
      <c r="W33" s="99"/>
    </row>
    <row r="34" spans="1:23" x14ac:dyDescent="0.2">
      <c r="A34" s="1">
        <f t="shared" si="11"/>
        <v>2</v>
      </c>
      <c r="B34" s="16">
        <f t="shared" si="6"/>
        <v>17</v>
      </c>
      <c r="C34" s="162">
        <f t="shared" si="7"/>
        <v>45807</v>
      </c>
      <c r="D34" s="6">
        <f>IFERROR(PPMT(Input!$E$35/12,B34,$C$6,Input!$E$34,-$C$13,0)," ")</f>
        <v>-5404.7507705825983</v>
      </c>
      <c r="E34" s="6">
        <f>IFERROR(IPMT(Input!$E$35/12,B34,$C$6,Input!$E$34,-$C$13,0)," ")</f>
        <v>-938.72154034488051</v>
      </c>
      <c r="F34" s="6">
        <f t="shared" si="8"/>
        <v>-88776.702998687106</v>
      </c>
      <c r="G34" s="6">
        <f t="shared" si="9"/>
        <v>-19062.326287080035</v>
      </c>
      <c r="H34" s="6">
        <f t="shared" si="3"/>
        <v>-6343.4723109274792</v>
      </c>
      <c r="I34" s="6">
        <f t="shared" si="4"/>
        <v>211223.29700131289</v>
      </c>
      <c r="J34" s="6" t="str">
        <f>IF(B34&lt;&gt;"",IF(AND(Input!$H$34="Annual",MOD(B34,12)=0),Input!$J$34,IF(AND(Input!$H$34="1st Installment",B34=1),Input!$J$34,IF(Input!$H$34="Monthly",Input!$J$34,""))),"")</f>
        <v/>
      </c>
      <c r="K34" s="6" t="str">
        <f>IF(B34&lt;&gt;"",IF(AND(Input!$H$35="Annual",MOD(B34,12)=0),Input!$J$35,IF(AND(Input!$H$35="1st Installment",B34=1),Input!$J$35,IF(Input!$H$35="Monthly",Input!$J$35,""))),"")</f>
        <v/>
      </c>
      <c r="L34" s="6">
        <f>IF(B34&lt;=$C$6,(_xlfn.IFNA(IF(AND(Input!$H$36="1st Installment",B34=1),Input!$I$36,IF(Input!$H$36="Monthly",VLOOKUP(A34,Input!$G$41:$L$46,6,0),IF(Input!$H$36="Annual",VLOOKUP('Auto Finance'!B34,Input!$K$41:$L$46,2,0),""))),""))," ")</f>
        <v>736</v>
      </c>
      <c r="M34" s="6">
        <f>IF(B34&lt;&gt;"",IF(AND(Input!$H$37="Annual",MOD(B34,12)=0),Input!$J$37,IF(AND(Input!$H$37="1st Installment",B34=1),Input!$J$37,IF(Input!$H$37="Monthly",Input!$J$37,IF(AND(Input!$H$37="End of the loan",B34=Input!$E$39),Input!$J$37,"")))),"")</f>
        <v>0</v>
      </c>
      <c r="N34" s="6">
        <f t="shared" si="0"/>
        <v>736</v>
      </c>
      <c r="O34" s="4">
        <f t="shared" si="1"/>
        <v>7079.4723109274792</v>
      </c>
      <c r="S34" s="9">
        <f t="shared" si="10"/>
        <v>45807</v>
      </c>
      <c r="T34" s="5">
        <f t="shared" si="5"/>
        <v>7079.47</v>
      </c>
      <c r="U34" s="139"/>
      <c r="V34" s="106"/>
      <c r="W34" s="99"/>
    </row>
    <row r="35" spans="1:23" x14ac:dyDescent="0.2">
      <c r="A35" s="1">
        <f t="shared" si="11"/>
        <v>2</v>
      </c>
      <c r="B35" s="16">
        <f t="shared" si="6"/>
        <v>18</v>
      </c>
      <c r="C35" s="162">
        <f t="shared" si="7"/>
        <v>45838</v>
      </c>
      <c r="D35" s="6">
        <f>IFERROR(PPMT(Input!$E$35/12,B35,$C$6,Input!$E$34,-$C$13,0)," ")</f>
        <v>-5428.1713572551243</v>
      </c>
      <c r="E35" s="6">
        <f>IFERROR(IPMT(Input!$E$35/12,B35,$C$6,Input!$E$34,-$C$13,0)," ")</f>
        <v>-915.30095367235594</v>
      </c>
      <c r="F35" s="6">
        <f t="shared" si="8"/>
        <v>-94204.874355942229</v>
      </c>
      <c r="G35" s="6">
        <f t="shared" si="9"/>
        <v>-19977.62724075239</v>
      </c>
      <c r="H35" s="6">
        <f t="shared" si="3"/>
        <v>-6343.4723109274801</v>
      </c>
      <c r="I35" s="6">
        <f t="shared" si="4"/>
        <v>205795.12564405776</v>
      </c>
      <c r="J35" s="6" t="str">
        <f>IF(B35&lt;&gt;"",IF(AND(Input!$H$34="Annual",MOD(B35,12)=0),Input!$J$34,IF(AND(Input!$H$34="1st Installment",B35=1),Input!$J$34,IF(Input!$H$34="Monthly",Input!$J$34,""))),"")</f>
        <v/>
      </c>
      <c r="K35" s="6" t="str">
        <f>IF(B35&lt;&gt;"",IF(AND(Input!$H$35="Annual",MOD(B35,12)=0),Input!$J$35,IF(AND(Input!$H$35="1st Installment",B35=1),Input!$J$35,IF(Input!$H$35="Monthly",Input!$J$35,""))),"")</f>
        <v/>
      </c>
      <c r="L35" s="6">
        <f>IF(B35&lt;=$C$6,(_xlfn.IFNA(IF(AND(Input!$H$36="1st Installment",B35=1),Input!$I$36,IF(Input!$H$36="Monthly",VLOOKUP(A35,Input!$G$41:$L$46,6,0),IF(Input!$H$36="Annual",VLOOKUP('Auto Finance'!B35,Input!$K$41:$L$46,2,0),""))),""))," ")</f>
        <v>736</v>
      </c>
      <c r="M35" s="6">
        <f>IF(B35&lt;&gt;"",IF(AND(Input!$H$37="Annual",MOD(B35,12)=0),Input!$J$37,IF(AND(Input!$H$37="1st Installment",B35=1),Input!$J$37,IF(Input!$H$37="Monthly",Input!$J$37,IF(AND(Input!$H$37="End of the loan",B35=Input!$E$39),Input!$J$37,"")))),"")</f>
        <v>0</v>
      </c>
      <c r="N35" s="6">
        <f t="shared" si="0"/>
        <v>736</v>
      </c>
      <c r="O35" s="4">
        <f t="shared" si="1"/>
        <v>7079.4723109274801</v>
      </c>
      <c r="S35" s="9">
        <f t="shared" si="10"/>
        <v>45838</v>
      </c>
      <c r="T35" s="5">
        <f t="shared" si="5"/>
        <v>7079.47</v>
      </c>
      <c r="U35" s="139"/>
      <c r="V35" s="106"/>
      <c r="W35" s="99"/>
    </row>
    <row r="36" spans="1:23" x14ac:dyDescent="0.2">
      <c r="A36" s="1">
        <f t="shared" si="11"/>
        <v>2</v>
      </c>
      <c r="B36" s="16">
        <f t="shared" si="6"/>
        <v>19</v>
      </c>
      <c r="C36" s="162">
        <f t="shared" si="7"/>
        <v>45868</v>
      </c>
      <c r="D36" s="6">
        <f>IFERROR(PPMT(Input!$E$35/12,B36,$C$6,Input!$E$34,-$C$13,0)," ")</f>
        <v>-5451.6934331365619</v>
      </c>
      <c r="E36" s="6">
        <f>IFERROR(IPMT(Input!$E$35/12,B36,$C$6,Input!$E$34,-$C$13,0)," ")</f>
        <v>-891.77887779091702</v>
      </c>
      <c r="F36" s="6">
        <f t="shared" si="8"/>
        <v>-99656.567789078792</v>
      </c>
      <c r="G36" s="6">
        <f t="shared" si="9"/>
        <v>-20869.406118543306</v>
      </c>
      <c r="H36" s="6">
        <f t="shared" si="3"/>
        <v>-6343.4723109274792</v>
      </c>
      <c r="I36" s="6">
        <f t="shared" si="4"/>
        <v>200343.43221092119</v>
      </c>
      <c r="J36" s="6" t="str">
        <f>IF(B36&lt;&gt;"",IF(AND(Input!$H$34="Annual",MOD(B36,12)=0),Input!$J$34,IF(AND(Input!$H$34="1st Installment",B36=1),Input!$J$34,IF(Input!$H$34="Monthly",Input!$J$34,""))),"")</f>
        <v/>
      </c>
      <c r="K36" s="6" t="str">
        <f>IF(B36&lt;&gt;"",IF(AND(Input!$H$35="Annual",MOD(B36,12)=0),Input!$J$35,IF(AND(Input!$H$35="1st Installment",B36=1),Input!$J$35,IF(Input!$H$35="Monthly",Input!$J$35,""))),"")</f>
        <v/>
      </c>
      <c r="L36" s="6">
        <f>IF(B36&lt;=$C$6,(_xlfn.IFNA(IF(AND(Input!$H$36="1st Installment",B36=1),Input!$I$36,IF(Input!$H$36="Monthly",VLOOKUP(A36,Input!$G$41:$L$46,6,0),IF(Input!$H$36="Annual",VLOOKUP('Auto Finance'!B36,Input!$K$41:$L$46,2,0),""))),""))," ")</f>
        <v>736</v>
      </c>
      <c r="M36" s="6">
        <f>IF(B36&lt;&gt;"",IF(AND(Input!$H$37="Annual",MOD(B36,12)=0),Input!$J$37,IF(AND(Input!$H$37="1st Installment",B36=1),Input!$J$37,IF(Input!$H$37="Monthly",Input!$J$37,IF(AND(Input!$H$37="End of the loan",B36=Input!$E$39),Input!$J$37,"")))),"")</f>
        <v>0</v>
      </c>
      <c r="N36" s="6">
        <f t="shared" si="0"/>
        <v>736</v>
      </c>
      <c r="O36" s="4">
        <f t="shared" si="1"/>
        <v>7079.4723109274792</v>
      </c>
      <c r="S36" s="9">
        <f t="shared" si="10"/>
        <v>45868</v>
      </c>
      <c r="T36" s="5">
        <f t="shared" si="5"/>
        <v>7079.47</v>
      </c>
      <c r="U36" s="139"/>
      <c r="V36" s="106"/>
      <c r="W36" s="99"/>
    </row>
    <row r="37" spans="1:23" x14ac:dyDescent="0.2">
      <c r="A37" s="1">
        <f t="shared" si="11"/>
        <v>2</v>
      </c>
      <c r="B37" s="16">
        <f t="shared" si="6"/>
        <v>20</v>
      </c>
      <c r="C37" s="162">
        <f t="shared" si="7"/>
        <v>45899</v>
      </c>
      <c r="D37" s="6">
        <f>IFERROR(PPMT(Input!$E$35/12,B37,$C$6,Input!$E$34,-$C$13,0)," ")</f>
        <v>-5475.3174380134869</v>
      </c>
      <c r="E37" s="6">
        <f>IFERROR(IPMT(Input!$E$35/12,B37,$C$6,Input!$E$34,-$C$13,0)," ")</f>
        <v>-868.15487291399188</v>
      </c>
      <c r="F37" s="6">
        <f t="shared" si="8"/>
        <v>-105131.88522709228</v>
      </c>
      <c r="G37" s="6">
        <f t="shared" si="9"/>
        <v>-21737.560991457296</v>
      </c>
      <c r="H37" s="6">
        <f t="shared" si="3"/>
        <v>-6343.4723109274792</v>
      </c>
      <c r="I37" s="6">
        <f t="shared" si="4"/>
        <v>194868.11477290772</v>
      </c>
      <c r="J37" s="6" t="str">
        <f>IF(B37&lt;&gt;"",IF(AND(Input!$H$34="Annual",MOD(B37,12)=0),Input!$J$34,IF(AND(Input!$H$34="1st Installment",B37=1),Input!$J$34,IF(Input!$H$34="Monthly",Input!$J$34,""))),"")</f>
        <v/>
      </c>
      <c r="K37" s="6" t="str">
        <f>IF(B37&lt;&gt;"",IF(AND(Input!$H$35="Annual",MOD(B37,12)=0),Input!$J$35,IF(AND(Input!$H$35="1st Installment",B37=1),Input!$J$35,IF(Input!$H$35="Monthly",Input!$J$35,""))),"")</f>
        <v/>
      </c>
      <c r="L37" s="6">
        <f>IF(B37&lt;=$C$6,(_xlfn.IFNA(IF(AND(Input!$H$36="1st Installment",B37=1),Input!$I$36,IF(Input!$H$36="Monthly",VLOOKUP(A37,Input!$G$41:$L$46,6,0),IF(Input!$H$36="Annual",VLOOKUP('Auto Finance'!B37,Input!$K$41:$L$46,2,0),""))),""))," ")</f>
        <v>736</v>
      </c>
      <c r="M37" s="6">
        <f>IF(B37&lt;&gt;"",IF(AND(Input!$H$37="Annual",MOD(B37,12)=0),Input!$J$37,IF(AND(Input!$H$37="1st Installment",B37=1),Input!$J$37,IF(Input!$H$37="Monthly",Input!$J$37,IF(AND(Input!$H$37="End of the loan",B37=Input!$E$39),Input!$J$37,"")))),"")</f>
        <v>0</v>
      </c>
      <c r="N37" s="6">
        <f t="shared" si="0"/>
        <v>736</v>
      </c>
      <c r="O37" s="4">
        <f t="shared" si="1"/>
        <v>7079.4723109274792</v>
      </c>
      <c r="S37" s="9">
        <f t="shared" si="10"/>
        <v>45899</v>
      </c>
      <c r="T37" s="5">
        <f t="shared" si="5"/>
        <v>7079.47</v>
      </c>
      <c r="U37" s="139"/>
      <c r="V37" s="106"/>
      <c r="W37" s="99"/>
    </row>
    <row r="38" spans="1:23" x14ac:dyDescent="0.2">
      <c r="A38" s="1">
        <f t="shared" si="11"/>
        <v>2</v>
      </c>
      <c r="B38" s="16">
        <f t="shared" si="6"/>
        <v>21</v>
      </c>
      <c r="C38" s="162">
        <f t="shared" si="7"/>
        <v>45930</v>
      </c>
      <c r="D38" s="6">
        <f>IFERROR(PPMT(Input!$E$35/12,B38,$C$6,Input!$E$34,-$C$13,0)," ")</f>
        <v>-5499.0438135782124</v>
      </c>
      <c r="E38" s="6">
        <f>IFERROR(IPMT(Input!$E$35/12,B38,$C$6,Input!$E$34,-$C$13,0)," ")</f>
        <v>-844.42849734926676</v>
      </c>
      <c r="F38" s="6">
        <f t="shared" si="8"/>
        <v>-110630.9290406705</v>
      </c>
      <c r="G38" s="6">
        <f t="shared" si="9"/>
        <v>-22581.989488806561</v>
      </c>
      <c r="H38" s="6">
        <f t="shared" si="3"/>
        <v>-6343.4723109274792</v>
      </c>
      <c r="I38" s="6">
        <f t="shared" si="4"/>
        <v>189369.07095932949</v>
      </c>
      <c r="J38" s="6" t="str">
        <f>IF(B38&lt;&gt;"",IF(AND(Input!$H$34="Annual",MOD(B38,12)=0),Input!$J$34,IF(AND(Input!$H$34="1st Installment",B38=1),Input!$J$34,IF(Input!$H$34="Monthly",Input!$J$34,""))),"")</f>
        <v/>
      </c>
      <c r="K38" s="6" t="str">
        <f>IF(B38&lt;&gt;"",IF(AND(Input!$H$35="Annual",MOD(B38,12)=0),Input!$J$35,IF(AND(Input!$H$35="1st Installment",B38=1),Input!$J$35,IF(Input!$H$35="Monthly",Input!$J$35,""))),"")</f>
        <v/>
      </c>
      <c r="L38" s="6">
        <f>IF(B38&lt;=$C$6,(_xlfn.IFNA(IF(AND(Input!$H$36="1st Installment",B38=1),Input!$I$36,IF(Input!$H$36="Monthly",VLOOKUP(A38,Input!$G$41:$L$46,6,0),IF(Input!$H$36="Annual",VLOOKUP('Auto Finance'!B38,Input!$K$41:$L$46,2,0),""))),""))," ")</f>
        <v>736</v>
      </c>
      <c r="M38" s="6">
        <f>IF(B38&lt;&gt;"",IF(AND(Input!$H$37="Annual",MOD(B38,12)=0),Input!$J$37,IF(AND(Input!$H$37="1st Installment",B38=1),Input!$J$37,IF(Input!$H$37="Monthly",Input!$J$37,IF(AND(Input!$H$37="End of the loan",B38=Input!$E$39),Input!$J$37,"")))),"")</f>
        <v>0</v>
      </c>
      <c r="N38" s="6">
        <f t="shared" si="0"/>
        <v>736</v>
      </c>
      <c r="O38" s="4">
        <f t="shared" si="1"/>
        <v>7079.4723109274792</v>
      </c>
      <c r="S38" s="9">
        <f t="shared" si="10"/>
        <v>45930</v>
      </c>
      <c r="T38" s="5">
        <f t="shared" si="5"/>
        <v>7079.47</v>
      </c>
      <c r="U38" s="139"/>
      <c r="V38" s="106"/>
      <c r="W38" s="99"/>
    </row>
    <row r="39" spans="1:23" x14ac:dyDescent="0.2">
      <c r="A39" s="1">
        <f t="shared" si="11"/>
        <v>2</v>
      </c>
      <c r="B39" s="16">
        <f t="shared" si="6"/>
        <v>22</v>
      </c>
      <c r="C39" s="162">
        <f t="shared" si="7"/>
        <v>45960</v>
      </c>
      <c r="D39" s="6">
        <f>IFERROR(PPMT(Input!$E$35/12,B39,$C$6,Input!$E$34,-$C$13,0)," ")</f>
        <v>-5522.873003437051</v>
      </c>
      <c r="E39" s="6">
        <f>IFERROR(IPMT(Input!$E$35/12,B39,$C$6,Input!$E$34,-$C$13,0)," ")</f>
        <v>-820.59930749042792</v>
      </c>
      <c r="F39" s="6">
        <f t="shared" si="8"/>
        <v>-116153.80204410755</v>
      </c>
      <c r="G39" s="6">
        <f t="shared" si="9"/>
        <v>-23402.58879629699</v>
      </c>
      <c r="H39" s="6">
        <f t="shared" si="3"/>
        <v>-6343.4723109274792</v>
      </c>
      <c r="I39" s="6">
        <f t="shared" si="4"/>
        <v>183846.19795589245</v>
      </c>
      <c r="J39" s="6" t="str">
        <f>IF(B39&lt;&gt;"",IF(AND(Input!$H$34="Annual",MOD(B39,12)=0),Input!$J$34,IF(AND(Input!$H$34="1st Installment",B39=1),Input!$J$34,IF(Input!$H$34="Monthly",Input!$J$34,""))),"")</f>
        <v/>
      </c>
      <c r="K39" s="6" t="str">
        <f>IF(B39&lt;&gt;"",IF(AND(Input!$H$35="Annual",MOD(B39,12)=0),Input!$J$35,IF(AND(Input!$H$35="1st Installment",B39=1),Input!$J$35,IF(Input!$H$35="Monthly",Input!$J$35,""))),"")</f>
        <v/>
      </c>
      <c r="L39" s="6">
        <f>IF(B39&lt;=$C$6,(_xlfn.IFNA(IF(AND(Input!$H$36="1st Installment",B39=1),Input!$I$36,IF(Input!$H$36="Monthly",VLOOKUP(A39,Input!$G$41:$L$46,6,0),IF(Input!$H$36="Annual",VLOOKUP('Auto Finance'!B39,Input!$K$41:$L$46,2,0),""))),""))," ")</f>
        <v>736</v>
      </c>
      <c r="M39" s="6">
        <f>IF(B39&lt;&gt;"",IF(AND(Input!$H$37="Annual",MOD(B39,12)=0),Input!$J$37,IF(AND(Input!$H$37="1st Installment",B39=1),Input!$J$37,IF(Input!$H$37="Monthly",Input!$J$37,IF(AND(Input!$H$37="End of the loan",B39=Input!$E$39),Input!$J$37,"")))),"")</f>
        <v>0</v>
      </c>
      <c r="N39" s="6">
        <f t="shared" si="0"/>
        <v>736</v>
      </c>
      <c r="O39" s="4">
        <f t="shared" si="1"/>
        <v>7079.4723109274792</v>
      </c>
      <c r="S39" s="9">
        <f t="shared" si="10"/>
        <v>45960</v>
      </c>
      <c r="T39" s="5">
        <f t="shared" si="5"/>
        <v>7079.47</v>
      </c>
      <c r="U39" s="139"/>
      <c r="V39" s="106"/>
      <c r="W39" s="99"/>
    </row>
    <row r="40" spans="1:23" x14ac:dyDescent="0.2">
      <c r="A40" s="1">
        <f t="shared" si="11"/>
        <v>2</v>
      </c>
      <c r="B40" s="16">
        <f t="shared" si="6"/>
        <v>23</v>
      </c>
      <c r="C40" s="162">
        <f t="shared" si="7"/>
        <v>45991</v>
      </c>
      <c r="D40" s="6">
        <f>IFERROR(PPMT(Input!$E$35/12,B40,$C$6,Input!$E$34,-$C$13,0)," ")</f>
        <v>-5546.8054531186117</v>
      </c>
      <c r="E40" s="6">
        <f>IFERROR(IPMT(Input!$E$35/12,B40,$C$6,Input!$E$34,-$C$13,0)," ")</f>
        <v>-796.66685780886735</v>
      </c>
      <c r="F40" s="6">
        <f t="shared" si="8"/>
        <v>-121700.60749722616</v>
      </c>
      <c r="G40" s="6">
        <f t="shared" si="9"/>
        <v>-24199.255654105858</v>
      </c>
      <c r="H40" s="6">
        <f t="shared" si="3"/>
        <v>-6343.4723109274792</v>
      </c>
      <c r="I40" s="6">
        <f t="shared" si="4"/>
        <v>178299.39250277384</v>
      </c>
      <c r="J40" s="6" t="str">
        <f>IF(B40&lt;&gt;"",IF(AND(Input!$H$34="Annual",MOD(B40,12)=0),Input!$J$34,IF(AND(Input!$H$34="1st Installment",B40=1),Input!$J$34,IF(Input!$H$34="Monthly",Input!$J$34,""))),"")</f>
        <v/>
      </c>
      <c r="K40" s="6" t="str">
        <f>IF(B40&lt;&gt;"",IF(AND(Input!$H$35="Annual",MOD(B40,12)=0),Input!$J$35,IF(AND(Input!$H$35="1st Installment",B40=1),Input!$J$35,IF(Input!$H$35="Monthly",Input!$J$35,""))),"")</f>
        <v/>
      </c>
      <c r="L40" s="6">
        <f>IF(B40&lt;=$C$6,(_xlfn.IFNA(IF(AND(Input!$H$36="1st Installment",B40=1),Input!$I$36,IF(Input!$H$36="Monthly",VLOOKUP(A40,Input!$G$41:$L$46,6,0),IF(Input!$H$36="Annual",VLOOKUP('Auto Finance'!B40,Input!$K$41:$L$46,2,0),""))),""))," ")</f>
        <v>736</v>
      </c>
      <c r="M40" s="6">
        <f>IF(B40&lt;&gt;"",IF(AND(Input!$H$37="Annual",MOD(B40,12)=0),Input!$J$37,IF(AND(Input!$H$37="1st Installment",B40=1),Input!$J$37,IF(Input!$H$37="Monthly",Input!$J$37,IF(AND(Input!$H$37="End of the loan",B40=Input!$E$39),Input!$J$37,"")))),"")</f>
        <v>0</v>
      </c>
      <c r="N40" s="6">
        <f t="shared" si="0"/>
        <v>736</v>
      </c>
      <c r="O40" s="4">
        <f t="shared" si="1"/>
        <v>7079.4723109274792</v>
      </c>
      <c r="S40" s="9">
        <f t="shared" si="10"/>
        <v>45991</v>
      </c>
      <c r="T40" s="5">
        <f t="shared" si="5"/>
        <v>7079.47</v>
      </c>
      <c r="U40" s="139"/>
      <c r="V40" s="106"/>
      <c r="W40" s="99"/>
    </row>
    <row r="41" spans="1:23" x14ac:dyDescent="0.2">
      <c r="A41" s="1">
        <f t="shared" si="11"/>
        <v>2</v>
      </c>
      <c r="B41" s="16">
        <f t="shared" si="6"/>
        <v>24</v>
      </c>
      <c r="C41" s="162">
        <f t="shared" si="7"/>
        <v>46021</v>
      </c>
      <c r="D41" s="6">
        <f>IFERROR(PPMT(Input!$E$35/12,B41,$C$6,Input!$E$34,-$C$13,0)," ")</f>
        <v>-5570.841610082126</v>
      </c>
      <c r="E41" s="6">
        <f>IFERROR(IPMT(Input!$E$35/12,B41,$C$6,Input!$E$34,-$C$13,0)," ")</f>
        <v>-772.63070084535332</v>
      </c>
      <c r="F41" s="6">
        <f t="shared" si="8"/>
        <v>-127271.44910730828</v>
      </c>
      <c r="G41" s="6">
        <f t="shared" si="9"/>
        <v>-24971.886354951213</v>
      </c>
      <c r="H41" s="6">
        <f t="shared" si="3"/>
        <v>-6343.4723109274792</v>
      </c>
      <c r="I41" s="6">
        <f t="shared" si="4"/>
        <v>172728.55089269171</v>
      </c>
      <c r="J41" s="6" t="str">
        <f>IF(B41&lt;&gt;"",IF(AND(Input!$H$34="Annual",MOD(B41,12)=0),Input!$J$34,IF(AND(Input!$H$34="1st Installment",B41=1),Input!$J$34,IF(Input!$H$34="Monthly",Input!$J$34,""))),"")</f>
        <v/>
      </c>
      <c r="K41" s="6">
        <f>IF(B41&lt;&gt;"",IF(AND(Input!$H$35="Annual",MOD(B41,12)=0),Input!$J$35,IF(AND(Input!$H$35="1st Installment",B41=1),Input!$J$35,IF(Input!$H$35="Monthly",Input!$J$35,""))),"")</f>
        <v>0</v>
      </c>
      <c r="L41" s="6">
        <f>IF(B41&lt;=$C$6,(_xlfn.IFNA(IF(AND(Input!$H$36="1st Installment",B41=1),Input!$I$36,IF(Input!$H$36="Monthly",VLOOKUP(A41,Input!$G$41:$L$46,6,0),IF(Input!$H$36="Annual",VLOOKUP('Auto Finance'!B41,Input!$K$41:$L$46,2,0),""))),""))," ")</f>
        <v>736</v>
      </c>
      <c r="M41" s="6">
        <f>IF(B41&lt;&gt;"",IF(AND(Input!$H$37="Annual",MOD(B41,12)=0),Input!$J$37,IF(AND(Input!$H$37="1st Installment",B41=1),Input!$J$37,IF(Input!$H$37="Monthly",Input!$J$37,IF(AND(Input!$H$37="End of the loan",B41=Input!$E$39),Input!$J$37,"")))),"")</f>
        <v>0</v>
      </c>
      <c r="N41" s="6">
        <f t="shared" si="0"/>
        <v>736</v>
      </c>
      <c r="O41" s="4">
        <f t="shared" si="1"/>
        <v>7079.4723109274792</v>
      </c>
      <c r="S41" s="9">
        <f t="shared" si="10"/>
        <v>46021</v>
      </c>
      <c r="T41" s="5">
        <f t="shared" si="5"/>
        <v>7079.47</v>
      </c>
      <c r="U41" s="139"/>
      <c r="V41" s="106"/>
      <c r="W41" s="99"/>
    </row>
    <row r="42" spans="1:23" x14ac:dyDescent="0.2">
      <c r="A42" s="1">
        <f>IF(B42&lt;&gt;"",3,"")</f>
        <v>3</v>
      </c>
      <c r="B42" s="16">
        <f t="shared" si="6"/>
        <v>25</v>
      </c>
      <c r="C42" s="162">
        <f t="shared" si="7"/>
        <v>46052</v>
      </c>
      <c r="D42" s="6">
        <f>IFERROR(PPMT(Input!$E$35/12,B42,$C$6,Input!$E$34,-$C$13,0)," ")</f>
        <v>-5594.9819237258143</v>
      </c>
      <c r="E42" s="6">
        <f>IFERROR(IPMT(Input!$E$35/12,B42,$C$6,Input!$E$34,-$C$13,0)," ")</f>
        <v>-748.49038720166425</v>
      </c>
      <c r="F42" s="6">
        <f t="shared" si="8"/>
        <v>-132866.4310310341</v>
      </c>
      <c r="G42" s="6">
        <f t="shared" si="9"/>
        <v>-25720.376742152879</v>
      </c>
      <c r="H42" s="6">
        <f t="shared" si="3"/>
        <v>-6343.4723109274782</v>
      </c>
      <c r="I42" s="6">
        <f t="shared" si="4"/>
        <v>167133.5689689659</v>
      </c>
      <c r="J42" s="6" t="str">
        <f>IF(B42&lt;&gt;"",IF(AND(Input!$H$34="Annual",MOD(B42,12)=0),Input!$J$34,IF(AND(Input!$H$34="1st Installment",B42=1),Input!$J$34,IF(Input!$H$34="Monthly",Input!$J$34,""))),"")</f>
        <v/>
      </c>
      <c r="K42" s="6" t="str">
        <f>IF(B42&lt;&gt;"",IF(AND(Input!$H$35="Annual",MOD(B42,12)=0),Input!$J$35,IF(AND(Input!$H$35="1st Installment",B42=1),Input!$J$35,IF(Input!$H$35="Monthly",Input!$J$35,""))),"")</f>
        <v/>
      </c>
      <c r="L42" s="6">
        <f>IF(B42&lt;=$C$6,(_xlfn.IFNA(IF(AND(Input!$H$36="1st Installment",B42=1),Input!$I$36,IF(Input!$H$36="Monthly",VLOOKUP(A42,Input!$G$41:$L$46,6,0),IF(Input!$H$36="Annual",VLOOKUP('Auto Finance'!B42,Input!$K$41:$L$46,2,0),""))),""))," ")</f>
        <v>551.99999999999989</v>
      </c>
      <c r="M42" s="6">
        <f>IF(B42&lt;&gt;"",IF(AND(Input!$H$37="Annual",MOD(B42,12)=0),Input!$J$37,IF(AND(Input!$H$37="1st Installment",B42=1),Input!$J$37,IF(Input!$H$37="Monthly",Input!$J$37,IF(AND(Input!$H$37="End of the loan",B42=Input!$E$39),Input!$J$37,"")))),"")</f>
        <v>0</v>
      </c>
      <c r="N42" s="6">
        <f t="shared" si="0"/>
        <v>551.99999999999989</v>
      </c>
      <c r="O42" s="4">
        <f t="shared" si="1"/>
        <v>6895.4723109274782</v>
      </c>
      <c r="S42" s="9">
        <f t="shared" si="10"/>
        <v>46052</v>
      </c>
      <c r="T42" s="5">
        <f t="shared" si="5"/>
        <v>6895.47</v>
      </c>
      <c r="U42" s="139"/>
      <c r="V42" s="106"/>
      <c r="W42" s="99"/>
    </row>
    <row r="43" spans="1:23" x14ac:dyDescent="0.2">
      <c r="A43" s="1">
        <f t="shared" ref="A43:A53" si="12">IF(B43&lt;&gt;"",3,"")</f>
        <v>3</v>
      </c>
      <c r="B43" s="16">
        <f t="shared" si="6"/>
        <v>26</v>
      </c>
      <c r="C43" s="162">
        <f t="shared" si="7"/>
        <v>46081</v>
      </c>
      <c r="D43" s="6">
        <f>IFERROR(PPMT(Input!$E$35/12,B43,$C$6,Input!$E$34,-$C$13,0)," ")</f>
        <v>-5619.2268453952938</v>
      </c>
      <c r="E43" s="6">
        <f>IFERROR(IPMT(Input!$E$35/12,B43,$C$6,Input!$E$34,-$C$13,0)," ")</f>
        <v>-724.24546553218556</v>
      </c>
      <c r="F43" s="6">
        <f t="shared" si="8"/>
        <v>-138485.65787642938</v>
      </c>
      <c r="G43" s="6">
        <f t="shared" si="9"/>
        <v>-26444.622207685064</v>
      </c>
      <c r="H43" s="6">
        <f t="shared" si="3"/>
        <v>-6343.4723109274792</v>
      </c>
      <c r="I43" s="6">
        <f t="shared" si="4"/>
        <v>161514.34212357062</v>
      </c>
      <c r="J43" s="6" t="str">
        <f>IF(B43&lt;&gt;"",IF(AND(Input!$H$34="Annual",MOD(B43,12)=0),Input!$J$34,IF(AND(Input!$H$34="1st Installment",B43=1),Input!$J$34,IF(Input!$H$34="Monthly",Input!$J$34,""))),"")</f>
        <v/>
      </c>
      <c r="K43" s="6" t="str">
        <f>IF(B43&lt;&gt;"",IF(AND(Input!$H$35="Annual",MOD(B43,12)=0),Input!$J$35,IF(AND(Input!$H$35="1st Installment",B43=1),Input!$J$35,IF(Input!$H$35="Monthly",Input!$J$35,""))),"")</f>
        <v/>
      </c>
      <c r="L43" s="6">
        <f>IF(B43&lt;=$C$6,(_xlfn.IFNA(IF(AND(Input!$H$36="1st Installment",B43=1),Input!$I$36,IF(Input!$H$36="Monthly",VLOOKUP(A43,Input!$G$41:$L$46,6,0),IF(Input!$H$36="Annual",VLOOKUP('Auto Finance'!B43,Input!$K$41:$L$46,2,0),""))),""))," ")</f>
        <v>551.99999999999989</v>
      </c>
      <c r="M43" s="6">
        <f>IF(B43&lt;&gt;"",IF(AND(Input!$H$37="Annual",MOD(B43,12)=0),Input!$J$37,IF(AND(Input!$H$37="1st Installment",B43=1),Input!$J$37,IF(Input!$H$37="Monthly",Input!$J$37,IF(AND(Input!$H$37="End of the loan",B43=Input!$E$39),Input!$J$37,"")))),"")</f>
        <v>0</v>
      </c>
      <c r="N43" s="6">
        <f t="shared" si="0"/>
        <v>551.99999999999989</v>
      </c>
      <c r="O43" s="4">
        <f t="shared" si="1"/>
        <v>6895.4723109274792</v>
      </c>
      <c r="S43" s="9">
        <f t="shared" si="10"/>
        <v>46081</v>
      </c>
      <c r="T43" s="5">
        <f t="shared" si="5"/>
        <v>6895.47</v>
      </c>
      <c r="U43" s="139"/>
      <c r="V43" s="106"/>
      <c r="W43" s="99"/>
    </row>
    <row r="44" spans="1:23" x14ac:dyDescent="0.2">
      <c r="A44" s="1">
        <f t="shared" si="12"/>
        <v>3</v>
      </c>
      <c r="B44" s="16">
        <f t="shared" si="6"/>
        <v>27</v>
      </c>
      <c r="C44" s="162">
        <f t="shared" si="7"/>
        <v>46111</v>
      </c>
      <c r="D44" s="6">
        <f>IFERROR(PPMT(Input!$E$35/12,B44,$C$6,Input!$E$34,-$C$13,0)," ")</f>
        <v>-5643.576828392007</v>
      </c>
      <c r="E44" s="6">
        <f>IFERROR(IPMT(Input!$E$35/12,B44,$C$6,Input!$E$34,-$C$13,0)," ")</f>
        <v>-699.89548253547264</v>
      </c>
      <c r="F44" s="6">
        <f t="shared" si="8"/>
        <v>-144129.2347048214</v>
      </c>
      <c r="G44" s="6">
        <f t="shared" si="9"/>
        <v>-27144.517690220538</v>
      </c>
      <c r="H44" s="6">
        <f t="shared" si="3"/>
        <v>-6343.4723109274801</v>
      </c>
      <c r="I44" s="6">
        <f t="shared" si="4"/>
        <v>155870.7652951786</v>
      </c>
      <c r="J44" s="6" t="str">
        <f>IF(B44&lt;&gt;"",IF(AND(Input!$H$34="Annual",MOD(B44,12)=0),Input!$J$34,IF(AND(Input!$H$34="1st Installment",B44=1),Input!$J$34,IF(Input!$H$34="Monthly",Input!$J$34,""))),"")</f>
        <v/>
      </c>
      <c r="K44" s="6" t="str">
        <f>IF(B44&lt;&gt;"",IF(AND(Input!$H$35="Annual",MOD(B44,12)=0),Input!$J$35,IF(AND(Input!$H$35="1st Installment",B44=1),Input!$J$35,IF(Input!$H$35="Monthly",Input!$J$35,""))),"")</f>
        <v/>
      </c>
      <c r="L44" s="6">
        <f>IF(B44&lt;=$C$6,(_xlfn.IFNA(IF(AND(Input!$H$36="1st Installment",B44=1),Input!$I$36,IF(Input!$H$36="Monthly",VLOOKUP(A44,Input!$G$41:$L$46,6,0),IF(Input!$H$36="Annual",VLOOKUP('Auto Finance'!B44,Input!$K$41:$L$46,2,0),""))),""))," ")</f>
        <v>551.99999999999989</v>
      </c>
      <c r="M44" s="6">
        <f>IF(B44&lt;&gt;"",IF(AND(Input!$H$37="Annual",MOD(B44,12)=0),Input!$J$37,IF(AND(Input!$H$37="1st Installment",B44=1),Input!$J$37,IF(Input!$H$37="Monthly",Input!$J$37,IF(AND(Input!$H$37="End of the loan",B44=Input!$E$39),Input!$J$37,"")))),"")</f>
        <v>0</v>
      </c>
      <c r="N44" s="6">
        <f t="shared" si="0"/>
        <v>551.99999999999989</v>
      </c>
      <c r="O44" s="4">
        <f t="shared" si="1"/>
        <v>6895.4723109274801</v>
      </c>
      <c r="S44" s="9">
        <f t="shared" si="10"/>
        <v>46111</v>
      </c>
      <c r="T44" s="5">
        <f t="shared" si="5"/>
        <v>6895.47</v>
      </c>
      <c r="U44" s="139"/>
      <c r="V44" s="106"/>
      <c r="W44" s="99"/>
    </row>
    <row r="45" spans="1:23" x14ac:dyDescent="0.2">
      <c r="A45" s="1">
        <f t="shared" si="12"/>
        <v>3</v>
      </c>
      <c r="B45" s="16">
        <f t="shared" si="6"/>
        <v>28</v>
      </c>
      <c r="C45" s="162">
        <f t="shared" si="7"/>
        <v>46142</v>
      </c>
      <c r="D45" s="6">
        <f>IFERROR(PPMT(Input!$E$35/12,B45,$C$6,Input!$E$34,-$C$13,0)," ")</f>
        <v>-5668.0323279817048</v>
      </c>
      <c r="E45" s="6">
        <f>IFERROR(IPMT(Input!$E$35/12,B45,$C$6,Input!$E$34,-$C$13,0)," ")</f>
        <v>-675.43998294577398</v>
      </c>
      <c r="F45" s="6">
        <f t="shared" si="8"/>
        <v>-149797.26703280309</v>
      </c>
      <c r="G45" s="6">
        <f t="shared" si="9"/>
        <v>-27819.957673166311</v>
      </c>
      <c r="H45" s="6">
        <f t="shared" si="3"/>
        <v>-6343.4723109274792</v>
      </c>
      <c r="I45" s="6">
        <f t="shared" si="4"/>
        <v>150202.73296719691</v>
      </c>
      <c r="J45" s="6" t="str">
        <f>IF(B45&lt;&gt;"",IF(AND(Input!$H$34="Annual",MOD(B45,12)=0),Input!$J$34,IF(AND(Input!$H$34="1st Installment",B45=1),Input!$J$34,IF(Input!$H$34="Monthly",Input!$J$34,""))),"")</f>
        <v/>
      </c>
      <c r="K45" s="6" t="str">
        <f>IF(B45&lt;&gt;"",IF(AND(Input!$H$35="Annual",MOD(B45,12)=0),Input!$J$35,IF(AND(Input!$H$35="1st Installment",B45=1),Input!$J$35,IF(Input!$H$35="Monthly",Input!$J$35,""))),"")</f>
        <v/>
      </c>
      <c r="L45" s="6">
        <f>IF(B45&lt;=$C$6,(_xlfn.IFNA(IF(AND(Input!$H$36="1st Installment",B45=1),Input!$I$36,IF(Input!$H$36="Monthly",VLOOKUP(A45,Input!$G$41:$L$46,6,0),IF(Input!$H$36="Annual",VLOOKUP('Auto Finance'!B45,Input!$K$41:$L$46,2,0),""))),""))," ")</f>
        <v>551.99999999999989</v>
      </c>
      <c r="M45" s="6">
        <f>IF(B45&lt;&gt;"",IF(AND(Input!$H$37="Annual",MOD(B45,12)=0),Input!$J$37,IF(AND(Input!$H$37="1st Installment",B45=1),Input!$J$37,IF(Input!$H$37="Monthly",Input!$J$37,IF(AND(Input!$H$37="End of the loan",B45=Input!$E$39),Input!$J$37,"")))),"")</f>
        <v>0</v>
      </c>
      <c r="N45" s="6">
        <f t="shared" si="0"/>
        <v>551.99999999999989</v>
      </c>
      <c r="O45" s="4">
        <f t="shared" si="1"/>
        <v>6895.4723109274792</v>
      </c>
      <c r="S45" s="9">
        <f t="shared" si="10"/>
        <v>46142</v>
      </c>
      <c r="T45" s="5">
        <f t="shared" si="5"/>
        <v>6895.47</v>
      </c>
      <c r="U45" s="139"/>
      <c r="V45" s="106"/>
      <c r="W45" s="99"/>
    </row>
    <row r="46" spans="1:23" x14ac:dyDescent="0.2">
      <c r="A46" s="1">
        <f t="shared" si="12"/>
        <v>3</v>
      </c>
      <c r="B46" s="16">
        <f t="shared" si="6"/>
        <v>29</v>
      </c>
      <c r="C46" s="162">
        <f t="shared" si="7"/>
        <v>46172</v>
      </c>
      <c r="D46" s="6">
        <f>IFERROR(PPMT(Input!$E$35/12,B46,$C$6,Input!$E$34,-$C$13,0)," ")</f>
        <v>-5692.5938014029589</v>
      </c>
      <c r="E46" s="6">
        <f>IFERROR(IPMT(Input!$E$35/12,B46,$C$6,Input!$E$34,-$C$13,0)," ")</f>
        <v>-650.87850952451993</v>
      </c>
      <c r="F46" s="6">
        <f t="shared" si="8"/>
        <v>-155489.86083420605</v>
      </c>
      <c r="G46" s="6">
        <f t="shared" si="9"/>
        <v>-28470.836182690829</v>
      </c>
      <c r="H46" s="6">
        <f t="shared" si="3"/>
        <v>-6343.4723109274792</v>
      </c>
      <c r="I46" s="6">
        <f t="shared" si="4"/>
        <v>144510.13916579395</v>
      </c>
      <c r="J46" s="6" t="str">
        <f>IF(B46&lt;&gt;"",IF(AND(Input!$H$34="Annual",MOD(B46,12)=0),Input!$J$34,IF(AND(Input!$H$34="1st Installment",B46=1),Input!$J$34,IF(Input!$H$34="Monthly",Input!$J$34,""))),"")</f>
        <v/>
      </c>
      <c r="K46" s="6" t="str">
        <f>IF(B46&lt;&gt;"",IF(AND(Input!$H$35="Annual",MOD(B46,12)=0),Input!$J$35,IF(AND(Input!$H$35="1st Installment",B46=1),Input!$J$35,IF(Input!$H$35="Monthly",Input!$J$35,""))),"")</f>
        <v/>
      </c>
      <c r="L46" s="6">
        <f>IF(B46&lt;=$C$6,(_xlfn.IFNA(IF(AND(Input!$H$36="1st Installment",B46=1),Input!$I$36,IF(Input!$H$36="Monthly",VLOOKUP(A46,Input!$G$41:$L$46,6,0),IF(Input!$H$36="Annual",VLOOKUP('Auto Finance'!B46,Input!$K$41:$L$46,2,0),""))),""))," ")</f>
        <v>551.99999999999989</v>
      </c>
      <c r="M46" s="6">
        <f>IF(B46&lt;&gt;"",IF(AND(Input!$H$37="Annual",MOD(B46,12)=0),Input!$J$37,IF(AND(Input!$H$37="1st Installment",B46=1),Input!$J$37,IF(Input!$H$37="Monthly",Input!$J$37,IF(AND(Input!$H$37="End of the loan",B46=Input!$E$39),Input!$J$37,"")))),"")</f>
        <v>0</v>
      </c>
      <c r="N46" s="6">
        <f t="shared" si="0"/>
        <v>551.99999999999989</v>
      </c>
      <c r="O46" s="4">
        <f t="shared" si="1"/>
        <v>6895.4723109274792</v>
      </c>
      <c r="S46" s="9">
        <f t="shared" si="10"/>
        <v>46172</v>
      </c>
      <c r="T46" s="5">
        <f t="shared" si="5"/>
        <v>6895.47</v>
      </c>
      <c r="U46" s="139"/>
      <c r="V46" s="106"/>
      <c r="W46" s="99"/>
    </row>
    <row r="47" spans="1:23" x14ac:dyDescent="0.2">
      <c r="A47" s="1">
        <f t="shared" si="12"/>
        <v>3</v>
      </c>
      <c r="B47" s="16">
        <f t="shared" si="6"/>
        <v>30</v>
      </c>
      <c r="C47" s="162">
        <f t="shared" si="7"/>
        <v>46203</v>
      </c>
      <c r="D47" s="6">
        <f>IFERROR(PPMT(Input!$E$35/12,B47,$C$6,Input!$E$34,-$C$13,0)," ")</f>
        <v>-5717.2617078757048</v>
      </c>
      <c r="E47" s="6">
        <f>IFERROR(IPMT(Input!$E$35/12,B47,$C$6,Input!$E$34,-$C$13,0)," ")</f>
        <v>-626.21060305177377</v>
      </c>
      <c r="F47" s="6">
        <f t="shared" si="8"/>
        <v>-161207.12254208175</v>
      </c>
      <c r="G47" s="6">
        <f t="shared" si="9"/>
        <v>-29097.046785742605</v>
      </c>
      <c r="H47" s="6">
        <f t="shared" si="3"/>
        <v>-6343.4723109274782</v>
      </c>
      <c r="I47" s="6">
        <f t="shared" si="4"/>
        <v>138792.87745791825</v>
      </c>
      <c r="J47" s="6" t="str">
        <f>IF(B47&lt;&gt;"",IF(AND(Input!$H$34="Annual",MOD(B47,12)=0),Input!$J$34,IF(AND(Input!$H$34="1st Installment",B47=1),Input!$J$34,IF(Input!$H$34="Monthly",Input!$J$34,""))),"")</f>
        <v/>
      </c>
      <c r="K47" s="6" t="str">
        <f>IF(B47&lt;&gt;"",IF(AND(Input!$H$35="Annual",MOD(B47,12)=0),Input!$J$35,IF(AND(Input!$H$35="1st Installment",B47=1),Input!$J$35,IF(Input!$H$35="Monthly",Input!$J$35,""))),"")</f>
        <v/>
      </c>
      <c r="L47" s="6">
        <f>IF(B47&lt;=$C$6,(_xlfn.IFNA(IF(AND(Input!$H$36="1st Installment",B47=1),Input!$I$36,IF(Input!$H$36="Monthly",VLOOKUP(A47,Input!$G$41:$L$46,6,0),IF(Input!$H$36="Annual",VLOOKUP('Auto Finance'!B47,Input!$K$41:$L$46,2,0),""))),""))," ")</f>
        <v>551.99999999999989</v>
      </c>
      <c r="M47" s="6">
        <f>IF(B47&lt;&gt;"",IF(AND(Input!$H$37="Annual",MOD(B47,12)=0),Input!$J$37,IF(AND(Input!$H$37="1st Installment",B47=1),Input!$J$37,IF(Input!$H$37="Monthly",Input!$J$37,IF(AND(Input!$H$37="End of the loan",B47=Input!$E$39),Input!$J$37,"")))),"")</f>
        <v>0</v>
      </c>
      <c r="N47" s="6">
        <f t="shared" si="0"/>
        <v>551.99999999999989</v>
      </c>
      <c r="O47" s="4">
        <f t="shared" si="1"/>
        <v>6895.4723109274782</v>
      </c>
      <c r="S47" s="9">
        <f t="shared" si="10"/>
        <v>46203</v>
      </c>
      <c r="T47" s="5">
        <f t="shared" si="5"/>
        <v>6895.47</v>
      </c>
      <c r="U47" s="139"/>
      <c r="V47" s="106"/>
      <c r="W47" s="99"/>
    </row>
    <row r="48" spans="1:23" x14ac:dyDescent="0.2">
      <c r="A48" s="1">
        <f t="shared" si="12"/>
        <v>3</v>
      </c>
      <c r="B48" s="16">
        <f t="shared" si="6"/>
        <v>31</v>
      </c>
      <c r="C48" s="162">
        <f t="shared" si="7"/>
        <v>46233</v>
      </c>
      <c r="D48" s="6">
        <f>IFERROR(PPMT(Input!$E$35/12,B48,$C$6,Input!$E$34,-$C$13,0)," ")</f>
        <v>-5742.0365086098336</v>
      </c>
      <c r="E48" s="6">
        <f>IFERROR(IPMT(Input!$E$35/12,B48,$C$6,Input!$E$34,-$C$13,0)," ")</f>
        <v>-601.43580231764577</v>
      </c>
      <c r="F48" s="6">
        <f t="shared" si="8"/>
        <v>-166949.15905069158</v>
      </c>
      <c r="G48" s="6">
        <f t="shared" si="9"/>
        <v>-29698.482588060251</v>
      </c>
      <c r="H48" s="6">
        <f t="shared" si="3"/>
        <v>-6343.4723109274792</v>
      </c>
      <c r="I48" s="6">
        <f>+IFERROR($C$8+F48,"")</f>
        <v>133050.84094930842</v>
      </c>
      <c r="J48" s="6" t="str">
        <f>IF(B48&lt;&gt;"",IF(AND(Input!$H$34="Annual",MOD(B48,12)=0),Input!$J$34,IF(AND(Input!$H$34="1st Installment",B48=1),Input!$J$34,IF(Input!$H$34="Monthly",Input!$J$34,""))),"")</f>
        <v/>
      </c>
      <c r="K48" s="6" t="str">
        <f>IF(B48&lt;&gt;"",IF(AND(Input!$H$35="Annual",MOD(B48,12)=0),Input!$J$35,IF(AND(Input!$H$35="1st Installment",B48=1),Input!$J$35,IF(Input!$H$35="Monthly",Input!$J$35,""))),"")</f>
        <v/>
      </c>
      <c r="L48" s="6">
        <f>IF(B48&lt;=$C$6,(_xlfn.IFNA(IF(AND(Input!$H$36="1st Installment",B48=1),Input!$I$36,IF(Input!$H$36="Monthly",VLOOKUP(A48,Input!$G$41:$L$46,6,0),IF(Input!$H$36="Annual",VLOOKUP('Auto Finance'!B48,Input!$K$41:$L$46,2,0),""))),""))," ")</f>
        <v>551.99999999999989</v>
      </c>
      <c r="M48" s="6">
        <f>IF(B48&lt;&gt;"",IF(AND(Input!$H$37="Annual",MOD(B48,12)=0),Input!$J$37,IF(AND(Input!$H$37="1st Installment",B48=1),Input!$J$37,IF(Input!$H$37="Monthly",Input!$J$37,IF(AND(Input!$H$37="End of the loan",B48=Input!$E$39),Input!$J$37,"")))),"")</f>
        <v>0</v>
      </c>
      <c r="N48" s="6">
        <f t="shared" si="0"/>
        <v>551.99999999999989</v>
      </c>
      <c r="O48" s="4">
        <f>IF(B48&lt;&gt;"",(-H48+N48),"")</f>
        <v>6895.4723109274792</v>
      </c>
      <c r="S48" s="9">
        <f t="shared" si="10"/>
        <v>46233</v>
      </c>
      <c r="T48" s="5">
        <f t="shared" si="5"/>
        <v>6895.47</v>
      </c>
      <c r="U48" s="139"/>
      <c r="V48" s="106"/>
    </row>
    <row r="49" spans="1:22" x14ac:dyDescent="0.2">
      <c r="A49" s="1">
        <f t="shared" si="12"/>
        <v>3</v>
      </c>
      <c r="B49" s="16">
        <f t="shared" si="6"/>
        <v>32</v>
      </c>
      <c r="C49" s="162">
        <f t="shared" si="7"/>
        <v>46264</v>
      </c>
      <c r="D49" s="6">
        <f>IFERROR(PPMT(Input!$E$35/12,B49,$C$6,Input!$E$34,-$C$13,0)," ")</f>
        <v>-5766.91866681381</v>
      </c>
      <c r="E49" s="6">
        <f>IFERROR(IPMT(Input!$E$35/12,B49,$C$6,Input!$E$34,-$C$13,0)," ")</f>
        <v>-576.55364411366975</v>
      </c>
      <c r="F49" s="6">
        <f t="shared" si="8"/>
        <v>-172716.0777175054</v>
      </c>
      <c r="G49" s="6">
        <f t="shared" si="9"/>
        <v>-30275.036232173919</v>
      </c>
      <c r="H49" s="6">
        <f t="shared" si="3"/>
        <v>-6343.4723109274801</v>
      </c>
      <c r="I49" s="6">
        <f t="shared" si="4"/>
        <v>127283.9222824946</v>
      </c>
      <c r="J49" s="6" t="str">
        <f>IF(B49&lt;&gt;"",IF(AND(Input!$H$34="Annual",MOD(B49,12)=0),Input!$J$34,IF(AND(Input!$H$34="1st Installment",B49=1),Input!$J$34,IF(Input!$H$34="Monthly",Input!$J$34,""))),"")</f>
        <v/>
      </c>
      <c r="K49" s="6" t="str">
        <f>IF(B49&lt;&gt;"",IF(AND(Input!$H$35="Annual",MOD(B49,12)=0),Input!$J$35,IF(AND(Input!$H$35="1st Installment",B49=1),Input!$J$35,IF(Input!$H$35="Monthly",Input!$J$35,""))),"")</f>
        <v/>
      </c>
      <c r="L49" s="6">
        <f>IF(B49&lt;=$C$6,(_xlfn.IFNA(IF(AND(Input!$H$36="1st Installment",B49=1),Input!$I$36,IF(Input!$H$36="Monthly",VLOOKUP(A49,Input!$G$41:$L$46,6,0),IF(Input!$H$36="Annual",VLOOKUP('Auto Finance'!B49,Input!$K$41:$L$46,2,0),""))),""))," ")</f>
        <v>551.99999999999989</v>
      </c>
      <c r="M49" s="6">
        <f>IF(B49&lt;&gt;"",IF(AND(Input!$H$37="Annual",MOD(B49,12)=0),Input!$J$37,IF(AND(Input!$H$37="1st Installment",B49=1),Input!$J$37,IF(Input!$H$37="Monthly",Input!$J$37,IF(AND(Input!$H$37="End of the loan",B49=Input!$E$39),Input!$J$37,"")))),"")</f>
        <v>0</v>
      </c>
      <c r="N49" s="6">
        <f t="shared" ref="N49:N73" si="13">IF(B49&lt;&gt;"",SUM(J49:M49),"")</f>
        <v>551.99999999999989</v>
      </c>
      <c r="O49" s="4">
        <f t="shared" si="1"/>
        <v>6895.4723109274801</v>
      </c>
      <c r="S49" s="9">
        <f t="shared" si="10"/>
        <v>46264</v>
      </c>
      <c r="T49" s="5">
        <f t="shared" si="5"/>
        <v>6895.47</v>
      </c>
      <c r="U49" s="139"/>
      <c r="V49" s="106"/>
    </row>
    <row r="50" spans="1:22" x14ac:dyDescent="0.2">
      <c r="A50" s="1">
        <f t="shared" si="12"/>
        <v>3</v>
      </c>
      <c r="B50" s="16">
        <f t="shared" si="6"/>
        <v>33</v>
      </c>
      <c r="C50" s="162">
        <f t="shared" si="7"/>
        <v>46295</v>
      </c>
      <c r="D50" s="6">
        <f>IFERROR(PPMT(Input!$E$35/12,B50,$C$6,Input!$E$34,-$C$13,0)," ")</f>
        <v>-5791.9086477033361</v>
      </c>
      <c r="E50" s="6">
        <f>IFERROR(IPMT(Input!$E$35/12,B50,$C$6,Input!$E$34,-$C$13,0)," ")</f>
        <v>-551.56366322414328</v>
      </c>
      <c r="F50" s="6">
        <f t="shared" si="8"/>
        <v>-178507.98636520872</v>
      </c>
      <c r="G50" s="6">
        <f t="shared" si="9"/>
        <v>-30826.599895398063</v>
      </c>
      <c r="H50" s="6">
        <f t="shared" si="3"/>
        <v>-6343.4723109274792</v>
      </c>
      <c r="I50" s="6">
        <f t="shared" si="4"/>
        <v>121492.01363479128</v>
      </c>
      <c r="J50" s="6" t="str">
        <f>IF(B50&lt;&gt;"",IF(AND(Input!$H$34="Annual",MOD(B50,12)=0),Input!$J$34,IF(AND(Input!$H$34="1st Installment",B50=1),Input!$J$34,IF(Input!$H$34="Monthly",Input!$J$34,""))),"")</f>
        <v/>
      </c>
      <c r="K50" s="6" t="str">
        <f>IF(B50&lt;&gt;"",IF(AND(Input!$H$35="Annual",MOD(B50,12)=0),Input!$J$35,IF(AND(Input!$H$35="1st Installment",B50=1),Input!$J$35,IF(Input!$H$35="Monthly",Input!$J$35,""))),"")</f>
        <v/>
      </c>
      <c r="L50" s="6">
        <f>IF(B50&lt;=$C$6,(_xlfn.IFNA(IF(AND(Input!$H$36="1st Installment",B50=1),Input!$I$36,IF(Input!$H$36="Monthly",VLOOKUP(A50,Input!$G$41:$L$46,6,0),IF(Input!$H$36="Annual",VLOOKUP('Auto Finance'!B50,Input!$K$41:$L$46,2,0),""))),""))," ")</f>
        <v>551.99999999999989</v>
      </c>
      <c r="M50" s="6">
        <f>IF(B50&lt;&gt;"",IF(AND(Input!$H$37="Annual",MOD(B50,12)=0),Input!$J$37,IF(AND(Input!$H$37="1st Installment",B50=1),Input!$J$37,IF(Input!$H$37="Monthly",Input!$J$37,IF(AND(Input!$H$37="End of the loan",B50=Input!$E$39),Input!$J$37,"")))),"")</f>
        <v>0</v>
      </c>
      <c r="N50" s="6">
        <f t="shared" si="13"/>
        <v>551.99999999999989</v>
      </c>
      <c r="O50" s="4">
        <f t="shared" si="1"/>
        <v>6895.4723109274792</v>
      </c>
      <c r="S50" s="9">
        <f t="shared" si="10"/>
        <v>46295</v>
      </c>
      <c r="T50" s="5">
        <f t="shared" si="5"/>
        <v>6895.47</v>
      </c>
      <c r="U50" s="139"/>
      <c r="V50" s="106"/>
    </row>
    <row r="51" spans="1:22" x14ac:dyDescent="0.2">
      <c r="A51" s="1">
        <f t="shared" si="12"/>
        <v>3</v>
      </c>
      <c r="B51" s="16">
        <f t="shared" si="6"/>
        <v>34</v>
      </c>
      <c r="C51" s="162">
        <f t="shared" si="7"/>
        <v>46325</v>
      </c>
      <c r="D51" s="6">
        <f>IFERROR(PPMT(Input!$E$35/12,B51,$C$6,Input!$E$34,-$C$13,0)," ")</f>
        <v>-5817.006918510051</v>
      </c>
      <c r="E51" s="6">
        <f>IFERROR(IPMT(Input!$E$35/12,B51,$C$6,Input!$E$34,-$C$13,0)," ")</f>
        <v>-526.4653924174288</v>
      </c>
      <c r="F51" s="6">
        <f t="shared" si="8"/>
        <v>-184324.99328371877</v>
      </c>
      <c r="G51" s="6">
        <f t="shared" si="9"/>
        <v>-31353.065287815491</v>
      </c>
      <c r="H51" s="6">
        <f t="shared" si="3"/>
        <v>-6343.4723109274801</v>
      </c>
      <c r="I51" s="6">
        <f t="shared" si="4"/>
        <v>115675.00671628123</v>
      </c>
      <c r="J51" s="6" t="str">
        <f>IF(B51&lt;&gt;"",IF(AND(Input!$H$34="Annual",MOD(B51,12)=0),Input!$J$34,IF(AND(Input!$H$34="1st Installment",B51=1),Input!$J$34,IF(Input!$H$34="Monthly",Input!$J$34,""))),"")</f>
        <v/>
      </c>
      <c r="K51" s="6" t="str">
        <f>IF(B51&lt;&gt;"",IF(AND(Input!$H$35="Annual",MOD(B51,12)=0),Input!$J$35,IF(AND(Input!$H$35="1st Installment",B51=1),Input!$J$35,IF(Input!$H$35="Monthly",Input!$J$35,""))),"")</f>
        <v/>
      </c>
      <c r="L51" s="6">
        <f>IF(B51&lt;=$C$6,(_xlfn.IFNA(IF(AND(Input!$H$36="1st Installment",B51=1),Input!$I$36,IF(Input!$H$36="Monthly",VLOOKUP(A51,Input!$G$41:$L$46,6,0),IF(Input!$H$36="Annual",VLOOKUP('Auto Finance'!B51,Input!$K$41:$L$46,2,0),""))),""))," ")</f>
        <v>551.99999999999989</v>
      </c>
      <c r="M51" s="6">
        <f>IF(B51&lt;&gt;"",IF(AND(Input!$H$37="Annual",MOD(B51,12)=0),Input!$J$37,IF(AND(Input!$H$37="1st Installment",B51=1),Input!$J$37,IF(Input!$H$37="Monthly",Input!$J$37,IF(AND(Input!$H$37="End of the loan",B51=Input!$E$39),Input!$J$37,"")))),"")</f>
        <v>0</v>
      </c>
      <c r="N51" s="6">
        <f t="shared" si="13"/>
        <v>551.99999999999989</v>
      </c>
      <c r="O51" s="4">
        <f t="shared" si="1"/>
        <v>6895.4723109274801</v>
      </c>
      <c r="S51" s="9">
        <f t="shared" si="10"/>
        <v>46325</v>
      </c>
      <c r="T51" s="5">
        <f t="shared" si="5"/>
        <v>6895.47</v>
      </c>
      <c r="U51" s="139"/>
      <c r="V51" s="106"/>
    </row>
    <row r="52" spans="1:22" x14ac:dyDescent="0.2">
      <c r="A52" s="1">
        <f t="shared" si="12"/>
        <v>3</v>
      </c>
      <c r="B52" s="16">
        <f t="shared" si="6"/>
        <v>35</v>
      </c>
      <c r="C52" s="162">
        <f t="shared" si="7"/>
        <v>46356</v>
      </c>
      <c r="D52" s="6">
        <f>IFERROR(PPMT(Input!$E$35/12,B52,$C$6,Input!$E$34,-$C$13,0)," ")</f>
        <v>-5842.2139484902609</v>
      </c>
      <c r="E52" s="6">
        <f>IFERROR(IPMT(Input!$E$35/12,B52,$C$6,Input!$E$34,-$C$13,0)," ")</f>
        <v>-501.25836243721858</v>
      </c>
      <c r="F52" s="6">
        <f t="shared" si="8"/>
        <v>-190167.20723220904</v>
      </c>
      <c r="G52" s="6">
        <f t="shared" si="9"/>
        <v>-31854.323650252711</v>
      </c>
      <c r="H52" s="6">
        <f t="shared" si="3"/>
        <v>-6343.4723109274792</v>
      </c>
      <c r="I52" s="6">
        <f t="shared" si="4"/>
        <v>109832.79276779096</v>
      </c>
      <c r="J52" s="6" t="str">
        <f>IF(B52&lt;&gt;"",IF(AND(Input!$H$34="Annual",MOD(B52,12)=0),Input!$J$34,IF(AND(Input!$H$34="1st Installment",B52=1),Input!$J$34,IF(Input!$H$34="Monthly",Input!$J$34,""))),"")</f>
        <v/>
      </c>
      <c r="K52" s="6" t="str">
        <f>IF(B52&lt;&gt;"",IF(AND(Input!$H$35="Annual",MOD(B52,12)=0),Input!$J$35,IF(AND(Input!$H$35="1st Installment",B52=1),Input!$J$35,IF(Input!$H$35="Monthly",Input!$J$35,""))),"")</f>
        <v/>
      </c>
      <c r="L52" s="6">
        <f>IF(B52&lt;=$C$6,(_xlfn.IFNA(IF(AND(Input!$H$36="1st Installment",B52=1),Input!$I$36,IF(Input!$H$36="Monthly",VLOOKUP(A52,Input!$G$41:$L$46,6,0),IF(Input!$H$36="Annual",VLOOKUP('Auto Finance'!B52,Input!$K$41:$L$46,2,0),""))),""))," ")</f>
        <v>551.99999999999989</v>
      </c>
      <c r="M52" s="6">
        <f>IF(B52&lt;&gt;"",IF(AND(Input!$H$37="Annual",MOD(B52,12)=0),Input!$J$37,IF(AND(Input!$H$37="1st Installment",B52=1),Input!$J$37,IF(Input!$H$37="Monthly",Input!$J$37,IF(AND(Input!$H$37="End of the loan",B52=Input!$E$39),Input!$J$37,"")))),"")</f>
        <v>0</v>
      </c>
      <c r="N52" s="6">
        <f t="shared" si="13"/>
        <v>551.99999999999989</v>
      </c>
      <c r="O52" s="4">
        <f t="shared" si="1"/>
        <v>6895.4723109274792</v>
      </c>
      <c r="S52" s="9">
        <f t="shared" si="10"/>
        <v>46356</v>
      </c>
      <c r="T52" s="5">
        <f t="shared" si="5"/>
        <v>6895.47</v>
      </c>
      <c r="U52" s="139"/>
      <c r="V52" s="106"/>
    </row>
    <row r="53" spans="1:22" x14ac:dyDescent="0.2">
      <c r="A53" s="1">
        <f t="shared" si="12"/>
        <v>3</v>
      </c>
      <c r="B53" s="16">
        <f t="shared" si="6"/>
        <v>36</v>
      </c>
      <c r="C53" s="162">
        <f t="shared" si="7"/>
        <v>46386</v>
      </c>
      <c r="D53" s="6">
        <f>IFERROR(PPMT(Input!$E$35/12,B53,$C$6,Input!$E$34,-$C$13,0)," ")</f>
        <v>-5867.5302089337183</v>
      </c>
      <c r="E53" s="6">
        <f>IFERROR(IPMT(Input!$E$35/12,B53,$C$6,Input!$E$34,-$C$13,0)," ")</f>
        <v>-475.94210199376079</v>
      </c>
      <c r="F53" s="6">
        <f t="shared" si="8"/>
        <v>-196034.73744114276</v>
      </c>
      <c r="G53" s="6">
        <f t="shared" si="9"/>
        <v>-32330.265752246472</v>
      </c>
      <c r="H53" s="6">
        <f t="shared" si="3"/>
        <v>-6343.4723109274792</v>
      </c>
      <c r="I53" s="6">
        <f t="shared" si="4"/>
        <v>103965.26255885724</v>
      </c>
      <c r="J53" s="6" t="str">
        <f>IF(B53&lt;&gt;"",IF(AND(Input!$H$34="Annual",MOD(B53,12)=0),Input!$J$34,IF(AND(Input!$H$34="1st Installment",B53=1),Input!$J$34,IF(Input!$H$34="Monthly",Input!$J$34,""))),"")</f>
        <v/>
      </c>
      <c r="K53" s="6">
        <f>IF(B53&lt;&gt;"",IF(AND(Input!$H$35="Annual",MOD(B53,12)=0),Input!$J$35,IF(AND(Input!$H$35="1st Installment",B53=1),Input!$J$35,IF(Input!$H$35="Monthly",Input!$J$35,""))),"")</f>
        <v>0</v>
      </c>
      <c r="L53" s="6">
        <f>IF(B53&lt;=$C$6,(_xlfn.IFNA(IF(AND(Input!$H$36="1st Installment",B53=1),Input!$I$36,IF(Input!$H$36="Monthly",VLOOKUP(A53,Input!$G$41:$L$46,6,0),IF(Input!$H$36="Annual",VLOOKUP('Auto Finance'!B53,Input!$K$41:$L$46,2,0),""))),""))," ")</f>
        <v>551.99999999999989</v>
      </c>
      <c r="M53" s="6">
        <f>IF(B53&lt;&gt;"",IF(AND(Input!$H$37="Annual",MOD(B53,12)=0),Input!$J$37,IF(AND(Input!$H$37="1st Installment",B53=1),Input!$J$37,IF(Input!$H$37="Monthly",Input!$J$37,IF(AND(Input!$H$37="End of the loan",B53=Input!$E$39),Input!$J$37,"")))),"")</f>
        <v>0</v>
      </c>
      <c r="N53" s="6">
        <f t="shared" si="13"/>
        <v>551.99999999999989</v>
      </c>
      <c r="O53" s="4">
        <f t="shared" si="1"/>
        <v>6895.4723109274792</v>
      </c>
      <c r="S53" s="9">
        <f t="shared" si="10"/>
        <v>46386</v>
      </c>
      <c r="T53" s="5">
        <f t="shared" si="5"/>
        <v>6895.47</v>
      </c>
      <c r="U53" s="139"/>
      <c r="V53" s="106"/>
    </row>
    <row r="54" spans="1:22" x14ac:dyDescent="0.2">
      <c r="A54" s="1">
        <f>IF(B54&lt;&gt;"",4,"")</f>
        <v>4</v>
      </c>
      <c r="B54" s="16">
        <f t="shared" si="6"/>
        <v>37</v>
      </c>
      <c r="C54" s="162">
        <f t="shared" si="7"/>
        <v>46417</v>
      </c>
      <c r="D54" s="6">
        <f>IFERROR(PPMT(Input!$E$35/12,B54,$C$6,Input!$E$34,-$C$13,0)," ")</f>
        <v>-5892.9561731724316</v>
      </c>
      <c r="E54" s="6">
        <f>IFERROR(IPMT(Input!$E$35/12,B54,$C$6,Input!$E$34,-$C$13,0)," ")</f>
        <v>-450.51613775504802</v>
      </c>
      <c r="F54" s="6">
        <f t="shared" si="8"/>
        <v>-201927.69361431518</v>
      </c>
      <c r="G54" s="6">
        <f t="shared" si="9"/>
        <v>-32780.781890001519</v>
      </c>
      <c r="H54" s="6">
        <f t="shared" si="3"/>
        <v>-6343.4723109274801</v>
      </c>
      <c r="I54" s="6">
        <f t="shared" si="4"/>
        <v>98072.306385684817</v>
      </c>
      <c r="J54" s="6" t="str">
        <f>IF(B54&lt;&gt;"",IF(AND(Input!$H$34="Annual",MOD(B54,12)=0),Input!$J$34,IF(AND(Input!$H$34="1st Installment",B54=1),Input!$J$34,IF(Input!$H$34="Monthly",Input!$J$34,""))),"")</f>
        <v/>
      </c>
      <c r="K54" s="6" t="str">
        <f>IF(B54&lt;&gt;"",IF(AND(Input!$H$35="Annual",MOD(B54,12)=0),Input!$J$35,IF(AND(Input!$H$35="1st Installment",B54=1),Input!$J$35,IF(Input!$H$35="Monthly",Input!$J$35,""))),"")</f>
        <v/>
      </c>
      <c r="L54" s="6">
        <f>IF(B54&lt;=$C$6,(_xlfn.IFNA(IF(AND(Input!$H$36="1st Installment",B54=1),Input!$I$36,IF(Input!$H$36="Monthly",VLOOKUP(A54,Input!$G$41:$L$46,6,0),IF(Input!$H$36="Annual",VLOOKUP('Auto Finance'!B54,Input!$K$41:$L$46,2,0),""))),""))," ")</f>
        <v>368</v>
      </c>
      <c r="M54" s="6">
        <f>IF(B54&lt;&gt;"",IF(AND(Input!$H$37="Annual",MOD(B54,12)=0),Input!$J$37,IF(AND(Input!$H$37="1st Installment",B54=1),Input!$J$37,IF(Input!$H$37="Monthly",Input!$J$37,IF(AND(Input!$H$37="End of the loan",B54=Input!$E$39),Input!$J$37,"")))),"")</f>
        <v>0</v>
      </c>
      <c r="N54" s="6">
        <f t="shared" si="13"/>
        <v>368</v>
      </c>
      <c r="O54" s="4">
        <f t="shared" si="1"/>
        <v>6711.4723109274801</v>
      </c>
      <c r="S54" s="9">
        <f t="shared" si="10"/>
        <v>46417</v>
      </c>
      <c r="T54" s="5">
        <f t="shared" si="5"/>
        <v>6711.47</v>
      </c>
      <c r="U54" s="139"/>
      <c r="V54" s="106"/>
    </row>
    <row r="55" spans="1:22" x14ac:dyDescent="0.2">
      <c r="A55" s="1">
        <f t="shared" ref="A55:A65" si="14">IF(B55&lt;&gt;"",4,"")</f>
        <v>4</v>
      </c>
      <c r="B55" s="16">
        <f t="shared" si="6"/>
        <v>38</v>
      </c>
      <c r="C55" s="162">
        <f t="shared" si="7"/>
        <v>46446</v>
      </c>
      <c r="D55" s="6">
        <f>IFERROR(PPMT(Input!$E$35/12,B55,$C$6,Input!$E$34,-$C$13,0)," ")</f>
        <v>-5918.4923165895116</v>
      </c>
      <c r="E55" s="6">
        <f>IFERROR(IPMT(Input!$E$35/12,B55,$C$6,Input!$E$34,-$C$13,0)," ")</f>
        <v>-424.97999433796753</v>
      </c>
      <c r="F55" s="6">
        <f t="shared" si="8"/>
        <v>-207846.1859309047</v>
      </c>
      <c r="G55" s="6">
        <f t="shared" si="9"/>
        <v>-33205.761884339488</v>
      </c>
      <c r="H55" s="6">
        <f t="shared" si="3"/>
        <v>-6343.4723109274792</v>
      </c>
      <c r="I55" s="6">
        <f t="shared" si="4"/>
        <v>92153.814069095301</v>
      </c>
      <c r="J55" s="6" t="str">
        <f>IF(B55&lt;&gt;"",IF(AND(Input!$H$34="Annual",MOD(B55,12)=0),Input!$J$34,IF(AND(Input!$H$34="1st Installment",B55=1),Input!$J$34,IF(Input!$H$34="Monthly",Input!$J$34,""))),"")</f>
        <v/>
      </c>
      <c r="K55" s="6" t="str">
        <f>IF(B55&lt;&gt;"",IF(AND(Input!$H$35="Annual",MOD(B55,12)=0),Input!$J$35,IF(AND(Input!$H$35="1st Installment",B55=1),Input!$J$35,IF(Input!$H$35="Monthly",Input!$J$35,""))),"")</f>
        <v/>
      </c>
      <c r="L55" s="6">
        <f>IF(B55&lt;=$C$6,(_xlfn.IFNA(IF(AND(Input!$H$36="1st Installment",B55=1),Input!$I$36,IF(Input!$H$36="Monthly",VLOOKUP(A55,Input!$G$41:$L$46,6,0),IF(Input!$H$36="Annual",VLOOKUP('Auto Finance'!B55,Input!$K$41:$L$46,2,0),""))),""))," ")</f>
        <v>368</v>
      </c>
      <c r="M55" s="6">
        <f>IF(B55&lt;&gt;"",IF(AND(Input!$H$37="Annual",MOD(B55,12)=0),Input!$J$37,IF(AND(Input!$H$37="1st Installment",B55=1),Input!$J$37,IF(Input!$H$37="Monthly",Input!$J$37,IF(AND(Input!$H$37="End of the loan",B55=Input!$E$39),Input!$J$37,"")))),"")</f>
        <v>0</v>
      </c>
      <c r="N55" s="6">
        <f t="shared" si="13"/>
        <v>368</v>
      </c>
      <c r="O55" s="4">
        <f t="shared" si="1"/>
        <v>6711.4723109274792</v>
      </c>
      <c r="S55" s="9">
        <f t="shared" si="10"/>
        <v>46446</v>
      </c>
      <c r="T55" s="5">
        <f t="shared" si="5"/>
        <v>6711.47</v>
      </c>
      <c r="U55" s="139"/>
      <c r="V55" s="106"/>
    </row>
    <row r="56" spans="1:22" x14ac:dyDescent="0.2">
      <c r="A56" s="1">
        <f t="shared" si="14"/>
        <v>4</v>
      </c>
      <c r="B56" s="16">
        <f t="shared" si="6"/>
        <v>39</v>
      </c>
      <c r="C56" s="162">
        <f t="shared" si="7"/>
        <v>46476</v>
      </c>
      <c r="D56" s="6">
        <f>IFERROR(PPMT(Input!$E$35/12,B56,$C$6,Input!$E$34,-$C$13,0)," ")</f>
        <v>-5944.1391166280664</v>
      </c>
      <c r="E56" s="6">
        <f>IFERROR(IPMT(Input!$E$35/12,B56,$C$6,Input!$E$34,-$C$13,0)," ")</f>
        <v>-399.33319429941292</v>
      </c>
      <c r="F56" s="6">
        <f t="shared" si="8"/>
        <v>-213790.32504753277</v>
      </c>
      <c r="G56" s="6">
        <f t="shared" si="9"/>
        <v>-33605.0950786389</v>
      </c>
      <c r="H56" s="6">
        <f t="shared" si="3"/>
        <v>-6343.4723109274792</v>
      </c>
      <c r="I56" s="6">
        <f t="shared" si="4"/>
        <v>86209.674952467234</v>
      </c>
      <c r="J56" s="6" t="str">
        <f>IF(B56&lt;&gt;"",IF(AND(Input!$H$34="Annual",MOD(B56,12)=0),Input!$J$34,IF(AND(Input!$H$34="1st Installment",B56=1),Input!$J$34,IF(Input!$H$34="Monthly",Input!$J$34,""))),"")</f>
        <v/>
      </c>
      <c r="K56" s="6" t="str">
        <f>IF(B56&lt;&gt;"",IF(AND(Input!$H$35="Annual",MOD(B56,12)=0),Input!$J$35,IF(AND(Input!$H$35="1st Installment",B56=1),Input!$J$35,IF(Input!$H$35="Monthly",Input!$J$35,""))),"")</f>
        <v/>
      </c>
      <c r="L56" s="6">
        <f>IF(B56&lt;=$C$6,(_xlfn.IFNA(IF(AND(Input!$H$36="1st Installment",B56=1),Input!$I$36,IF(Input!$H$36="Monthly",VLOOKUP(A56,Input!$G$41:$L$46,6,0),IF(Input!$H$36="Annual",VLOOKUP('Auto Finance'!B56,Input!$K$41:$L$46,2,0),""))),""))," ")</f>
        <v>368</v>
      </c>
      <c r="M56" s="6">
        <f>IF(B56&lt;&gt;"",IF(AND(Input!$H$37="Annual",MOD(B56,12)=0),Input!$J$37,IF(AND(Input!$H$37="1st Installment",B56=1),Input!$J$37,IF(Input!$H$37="Monthly",Input!$J$37,IF(AND(Input!$H$37="End of the loan",B56=Input!$E$39),Input!$J$37,"")))),"")</f>
        <v>0</v>
      </c>
      <c r="N56" s="6">
        <f t="shared" si="13"/>
        <v>368</v>
      </c>
      <c r="O56" s="4">
        <f t="shared" si="1"/>
        <v>6711.4723109274792</v>
      </c>
      <c r="S56" s="9">
        <f t="shared" si="10"/>
        <v>46476</v>
      </c>
      <c r="T56" s="5">
        <f t="shared" si="5"/>
        <v>6711.47</v>
      </c>
      <c r="U56" s="139"/>
      <c r="V56" s="106"/>
    </row>
    <row r="57" spans="1:22" x14ac:dyDescent="0.2">
      <c r="A57" s="1">
        <f t="shared" si="14"/>
        <v>4</v>
      </c>
      <c r="B57" s="16">
        <f t="shared" si="6"/>
        <v>40</v>
      </c>
      <c r="C57" s="162">
        <f t="shared" si="7"/>
        <v>46507</v>
      </c>
      <c r="D57" s="6">
        <f>IFERROR(PPMT(Input!$E$35/12,B57,$C$6,Input!$E$34,-$C$13,0)," ")</f>
        <v>-5969.8970528001209</v>
      </c>
      <c r="E57" s="6">
        <f>IFERROR(IPMT(Input!$E$35/12,B57,$C$6,Input!$E$34,-$C$13,0)," ")</f>
        <v>-373.57525812735798</v>
      </c>
      <c r="F57" s="6">
        <f t="shared" si="8"/>
        <v>-219760.22210033287</v>
      </c>
      <c r="G57" s="6">
        <f t="shared" si="9"/>
        <v>-33978.670336766256</v>
      </c>
      <c r="H57" s="6">
        <f t="shared" si="3"/>
        <v>-6343.4723109274792</v>
      </c>
      <c r="I57" s="6">
        <f t="shared" si="4"/>
        <v>80239.777899667126</v>
      </c>
      <c r="J57" s="6" t="str">
        <f>IF(B57&lt;&gt;"",IF(AND(Input!$H$34="Annual",MOD(B57,12)=0),Input!$J$34,IF(AND(Input!$H$34="1st Installment",B57=1),Input!$J$34,IF(Input!$H$34="Monthly",Input!$J$34,""))),"")</f>
        <v/>
      </c>
      <c r="K57" s="6" t="str">
        <f>IF(B57&lt;&gt;"",IF(AND(Input!$H$35="Annual",MOD(B57,12)=0),Input!$J$35,IF(AND(Input!$H$35="1st Installment",B57=1),Input!$J$35,IF(Input!$H$35="Monthly",Input!$J$35,""))),"")</f>
        <v/>
      </c>
      <c r="L57" s="6">
        <f>IF(B57&lt;=$C$6,(_xlfn.IFNA(IF(AND(Input!$H$36="1st Installment",B57=1),Input!$I$36,IF(Input!$H$36="Monthly",VLOOKUP(A57,Input!$G$41:$L$46,6,0),IF(Input!$H$36="Annual",VLOOKUP('Auto Finance'!B57,Input!$K$41:$L$46,2,0),""))),""))," ")</f>
        <v>368</v>
      </c>
      <c r="M57" s="6">
        <f>IF(B57&lt;&gt;"",IF(AND(Input!$H$37="Annual",MOD(B57,12)=0),Input!$J$37,IF(AND(Input!$H$37="1st Installment",B57=1),Input!$J$37,IF(Input!$H$37="Monthly",Input!$J$37,IF(AND(Input!$H$37="End of the loan",B57=Input!$E$39),Input!$J$37,"")))),"")</f>
        <v>0</v>
      </c>
      <c r="N57" s="6">
        <f t="shared" si="13"/>
        <v>368</v>
      </c>
      <c r="O57" s="4">
        <f t="shared" si="1"/>
        <v>6711.4723109274792</v>
      </c>
      <c r="S57" s="9">
        <f t="shared" si="10"/>
        <v>46507</v>
      </c>
      <c r="T57" s="5">
        <f t="shared" si="5"/>
        <v>6711.47</v>
      </c>
      <c r="U57" s="139"/>
      <c r="V57" s="106"/>
    </row>
    <row r="58" spans="1:22" x14ac:dyDescent="0.2">
      <c r="A58" s="1">
        <f t="shared" si="14"/>
        <v>4</v>
      </c>
      <c r="B58" s="16">
        <f t="shared" si="6"/>
        <v>41</v>
      </c>
      <c r="C58" s="162">
        <f t="shared" si="7"/>
        <v>46537</v>
      </c>
      <c r="D58" s="6">
        <f>IFERROR(PPMT(Input!$E$35/12,B58,$C$6,Input!$E$34,-$C$13,0)," ")</f>
        <v>-5995.766606695589</v>
      </c>
      <c r="E58" s="6">
        <f>IFERROR(IPMT(Input!$E$35/12,B58,$C$6,Input!$E$34,-$C$13,0)," ")</f>
        <v>-347.70570423189088</v>
      </c>
      <c r="F58" s="6">
        <f t="shared" si="8"/>
        <v>-225755.98870702847</v>
      </c>
      <c r="G58" s="6">
        <f t="shared" si="9"/>
        <v>-34326.376040998148</v>
      </c>
      <c r="H58" s="6">
        <f t="shared" si="3"/>
        <v>-6343.4723109274801</v>
      </c>
      <c r="I58" s="6">
        <f t="shared" si="4"/>
        <v>74244.011292971525</v>
      </c>
      <c r="J58" s="6" t="str">
        <f>IF(B58&lt;&gt;"",IF(AND(Input!$H$34="Annual",MOD(B58,12)=0),Input!$J$34,IF(AND(Input!$H$34="1st Installment",B58=1),Input!$J$34,IF(Input!$H$34="Monthly",Input!$J$34,""))),"")</f>
        <v/>
      </c>
      <c r="K58" s="6" t="str">
        <f>IF(B58&lt;&gt;"",IF(AND(Input!$H$35="Annual",MOD(B58,12)=0),Input!$J$35,IF(AND(Input!$H$35="1st Installment",B58=1),Input!$J$35,IF(Input!$H$35="Monthly",Input!$J$35,""))),"")</f>
        <v/>
      </c>
      <c r="L58" s="6">
        <f>IF(B58&lt;=$C$6,(_xlfn.IFNA(IF(AND(Input!$H$36="1st Installment",B58=1),Input!$I$36,IF(Input!$H$36="Monthly",VLOOKUP(A58,Input!$G$41:$L$46,6,0),IF(Input!$H$36="Annual",VLOOKUP('Auto Finance'!B58,Input!$K$41:$L$46,2,0),""))),""))," ")</f>
        <v>368</v>
      </c>
      <c r="M58" s="6">
        <f>IF(B58&lt;&gt;"",IF(AND(Input!$H$37="Annual",MOD(B58,12)=0),Input!$J$37,IF(AND(Input!$H$37="1st Installment",B58=1),Input!$J$37,IF(Input!$H$37="Monthly",Input!$J$37,IF(AND(Input!$H$37="End of the loan",B58=Input!$E$39),Input!$J$37,"")))),"")</f>
        <v>0</v>
      </c>
      <c r="N58" s="6">
        <f t="shared" si="13"/>
        <v>368</v>
      </c>
      <c r="O58" s="4">
        <f t="shared" si="1"/>
        <v>6711.4723109274801</v>
      </c>
      <c r="S58" s="9">
        <f t="shared" si="10"/>
        <v>46537</v>
      </c>
      <c r="T58" s="5">
        <f t="shared" si="5"/>
        <v>6711.47</v>
      </c>
      <c r="U58" s="139"/>
      <c r="V58" s="106"/>
    </row>
    <row r="59" spans="1:22" x14ac:dyDescent="0.2">
      <c r="A59" s="1">
        <f t="shared" si="14"/>
        <v>4</v>
      </c>
      <c r="B59" s="16">
        <f t="shared" si="6"/>
        <v>42</v>
      </c>
      <c r="C59" s="162">
        <f t="shared" si="7"/>
        <v>46568</v>
      </c>
      <c r="D59" s="6">
        <f>IFERROR(PPMT(Input!$E$35/12,B59,$C$6,Input!$E$34,-$C$13,0)," ")</f>
        <v>-6021.7482619912698</v>
      </c>
      <c r="E59" s="6">
        <f>IFERROR(IPMT(Input!$E$35/12,B59,$C$6,Input!$E$34,-$C$13,0)," ")</f>
        <v>-321.72404893620995</v>
      </c>
      <c r="F59" s="6">
        <f t="shared" si="8"/>
        <v>-231777.73696901975</v>
      </c>
      <c r="G59" s="6">
        <f t="shared" si="9"/>
        <v>-34648.100089934356</v>
      </c>
      <c r="H59" s="6">
        <f t="shared" si="3"/>
        <v>-6343.4723109274801</v>
      </c>
      <c r="I59" s="6">
        <f t="shared" si="4"/>
        <v>68222.263030980248</v>
      </c>
      <c r="J59" s="6" t="str">
        <f>IF(B59&lt;&gt;"",IF(AND(Input!$H$34="Annual",MOD(B59,12)=0),Input!$J$34,IF(AND(Input!$H$34="1st Installment",B59=1),Input!$J$34,IF(Input!$H$34="Monthly",Input!$J$34,""))),"")</f>
        <v/>
      </c>
      <c r="K59" s="6" t="str">
        <f>IF(B59&lt;&gt;"",IF(AND(Input!$H$35="Annual",MOD(B59,12)=0),Input!$J$35,IF(AND(Input!$H$35="1st Installment",B59=1),Input!$J$35,IF(Input!$H$35="Monthly",Input!$J$35,""))),"")</f>
        <v/>
      </c>
      <c r="L59" s="6">
        <f>IF(B59&lt;=$C$6,(_xlfn.IFNA(IF(AND(Input!$H$36="1st Installment",B59=1),Input!$I$36,IF(Input!$H$36="Monthly",VLOOKUP(A59,Input!$G$41:$L$46,6,0),IF(Input!$H$36="Annual",VLOOKUP('Auto Finance'!B59,Input!$K$41:$L$46,2,0),""))),""))," ")</f>
        <v>368</v>
      </c>
      <c r="M59" s="6">
        <f>IF(B59&lt;&gt;"",IF(AND(Input!$H$37="Annual",MOD(B59,12)=0),Input!$J$37,IF(AND(Input!$H$37="1st Installment",B59=1),Input!$J$37,IF(Input!$H$37="Monthly",Input!$J$37,IF(AND(Input!$H$37="End of the loan",B59=Input!$E$39),Input!$J$37,"")))),"")</f>
        <v>0</v>
      </c>
      <c r="N59" s="6">
        <f t="shared" si="13"/>
        <v>368</v>
      </c>
      <c r="O59" s="4">
        <f t="shared" si="1"/>
        <v>6711.4723109274801</v>
      </c>
      <c r="S59" s="9">
        <f t="shared" si="10"/>
        <v>46568</v>
      </c>
      <c r="T59" s="5">
        <f t="shared" si="5"/>
        <v>6711.47</v>
      </c>
      <c r="U59" s="139"/>
      <c r="V59" s="106"/>
    </row>
    <row r="60" spans="1:22" x14ac:dyDescent="0.2">
      <c r="A60" s="1">
        <f t="shared" si="14"/>
        <v>4</v>
      </c>
      <c r="B60" s="16">
        <f t="shared" si="6"/>
        <v>43</v>
      </c>
      <c r="C60" s="162">
        <f t="shared" si="7"/>
        <v>46598</v>
      </c>
      <c r="D60" s="6">
        <f>IFERROR(PPMT(Input!$E$35/12,B60,$C$6,Input!$E$34,-$C$13,0)," ")</f>
        <v>-6047.842504459898</v>
      </c>
      <c r="E60" s="6">
        <f>IFERROR(IPMT(Input!$E$35/12,B60,$C$6,Input!$E$34,-$C$13,0)," ")</f>
        <v>-295.62980646758103</v>
      </c>
      <c r="F60" s="6">
        <f t="shared" si="8"/>
        <v>-237825.57947347965</v>
      </c>
      <c r="G60" s="6">
        <f t="shared" si="9"/>
        <v>-34943.729896401936</v>
      </c>
      <c r="H60" s="6">
        <f t="shared" si="3"/>
        <v>-6343.4723109274792</v>
      </c>
      <c r="I60" s="6">
        <f t="shared" si="4"/>
        <v>62174.420526520349</v>
      </c>
      <c r="J60" s="6" t="str">
        <f>IF(B60&lt;&gt;"",IF(AND(Input!$H$34="Annual",MOD(B60,12)=0),Input!$J$34,IF(AND(Input!$H$34="1st Installment",B60=1),Input!$J$34,IF(Input!$H$34="Monthly",Input!$J$34,""))),"")</f>
        <v/>
      </c>
      <c r="K60" s="6" t="str">
        <f>IF(B60&lt;&gt;"",IF(AND(Input!$H$35="Annual",MOD(B60,12)=0),Input!$J$35,IF(AND(Input!$H$35="1st Installment",B60=1),Input!$J$35,IF(Input!$H$35="Monthly",Input!$J$35,""))),"")</f>
        <v/>
      </c>
      <c r="L60" s="6">
        <f>IF(B60&lt;=$C$6,(_xlfn.IFNA(IF(AND(Input!$H$36="1st Installment",B60=1),Input!$I$36,IF(Input!$H$36="Monthly",VLOOKUP(A60,Input!$G$41:$L$46,6,0),IF(Input!$H$36="Annual",VLOOKUP('Auto Finance'!B60,Input!$K$41:$L$46,2,0),""))),""))," ")</f>
        <v>368</v>
      </c>
      <c r="M60" s="6">
        <f>IF(B60&lt;&gt;"",IF(AND(Input!$H$37="Annual",MOD(B60,12)=0),Input!$J$37,IF(AND(Input!$H$37="1st Installment",B60=1),Input!$J$37,IF(Input!$H$37="Monthly",Input!$J$37,IF(AND(Input!$H$37="End of the loan",B60=Input!$E$39),Input!$J$37,"")))),"")</f>
        <v>0</v>
      </c>
      <c r="N60" s="6">
        <f t="shared" si="13"/>
        <v>368</v>
      </c>
      <c r="O60" s="4">
        <f t="shared" si="1"/>
        <v>6711.4723109274792</v>
      </c>
      <c r="S60" s="9">
        <f t="shared" si="10"/>
        <v>46598</v>
      </c>
      <c r="T60" s="5">
        <f t="shared" si="5"/>
        <v>6711.47</v>
      </c>
      <c r="U60" s="139"/>
      <c r="V60" s="106"/>
    </row>
    <row r="61" spans="1:22" x14ac:dyDescent="0.2">
      <c r="A61" s="1">
        <f t="shared" si="14"/>
        <v>4</v>
      </c>
      <c r="B61" s="16">
        <f t="shared" si="6"/>
        <v>44</v>
      </c>
      <c r="C61" s="162">
        <f t="shared" si="7"/>
        <v>46629</v>
      </c>
      <c r="D61" s="6">
        <f>IFERROR(PPMT(Input!$E$35/12,B61,$C$6,Input!$E$34,-$C$13,0)," ")</f>
        <v>-6074.0498219792244</v>
      </c>
      <c r="E61" s="6">
        <f>IFERROR(IPMT(Input!$E$35/12,B61,$C$6,Input!$E$34,-$C$13,0)," ")</f>
        <v>-269.42248894825485</v>
      </c>
      <c r="F61" s="6">
        <f t="shared" si="8"/>
        <v>-243899.62929545887</v>
      </c>
      <c r="G61" s="6">
        <f t="shared" si="9"/>
        <v>-35213.152385350193</v>
      </c>
      <c r="H61" s="6">
        <f t="shared" si="3"/>
        <v>-6343.4723109274792</v>
      </c>
      <c r="I61" s="6">
        <f t="shared" si="4"/>
        <v>56100.370704541128</v>
      </c>
      <c r="J61" s="6" t="str">
        <f>IF(B61&lt;&gt;"",IF(AND(Input!$H$34="Annual",MOD(B61,12)=0),Input!$J$34,IF(AND(Input!$H$34="1st Installment",B61=1),Input!$J$34,IF(Input!$H$34="Monthly",Input!$J$34,""))),"")</f>
        <v/>
      </c>
      <c r="K61" s="6" t="str">
        <f>IF(B61&lt;&gt;"",IF(AND(Input!$H$35="Annual",MOD(B61,12)=0),Input!$J$35,IF(AND(Input!$H$35="1st Installment",B61=1),Input!$J$35,IF(Input!$H$35="Monthly",Input!$J$35,""))),"")</f>
        <v/>
      </c>
      <c r="L61" s="6">
        <f>IF(B61&lt;=$C$6,(_xlfn.IFNA(IF(AND(Input!$H$36="1st Installment",B61=1),Input!$I$36,IF(Input!$H$36="Monthly",VLOOKUP(A61,Input!$G$41:$L$46,6,0),IF(Input!$H$36="Annual",VLOOKUP('Auto Finance'!B61,Input!$K$41:$L$46,2,0),""))),""))," ")</f>
        <v>368</v>
      </c>
      <c r="M61" s="6">
        <f>IF(B61&lt;&gt;"",IF(AND(Input!$H$37="Annual",MOD(B61,12)=0),Input!$J$37,IF(AND(Input!$H$37="1st Installment",B61=1),Input!$J$37,IF(Input!$H$37="Monthly",Input!$J$37,IF(AND(Input!$H$37="End of the loan",B61=Input!$E$39),Input!$J$37,"")))),"")</f>
        <v>0</v>
      </c>
      <c r="N61" s="6">
        <f t="shared" si="13"/>
        <v>368</v>
      </c>
      <c r="O61" s="4">
        <f t="shared" si="1"/>
        <v>6711.4723109274792</v>
      </c>
      <c r="S61" s="9">
        <f t="shared" si="10"/>
        <v>46629</v>
      </c>
      <c r="T61" s="5">
        <f t="shared" si="5"/>
        <v>6711.47</v>
      </c>
      <c r="U61" s="139"/>
      <c r="V61" s="106"/>
    </row>
    <row r="62" spans="1:22" x14ac:dyDescent="0.2">
      <c r="A62" s="1">
        <f t="shared" si="14"/>
        <v>4</v>
      </c>
      <c r="B62" s="16">
        <f t="shared" si="6"/>
        <v>45</v>
      </c>
      <c r="C62" s="162">
        <f t="shared" si="7"/>
        <v>46660</v>
      </c>
      <c r="D62" s="6">
        <f>IFERROR(PPMT(Input!$E$35/12,B62,$C$6,Input!$E$34,-$C$13,0)," ")</f>
        <v>-6100.3707045411347</v>
      </c>
      <c r="E62" s="6">
        <f>IFERROR(IPMT(Input!$E$35/12,B62,$C$6,Input!$E$34,-$C$13,0)," ")</f>
        <v>-243.10160638634491</v>
      </c>
      <c r="F62" s="6">
        <f t="shared" si="8"/>
        <v>-250000</v>
      </c>
      <c r="G62" s="6">
        <f t="shared" si="9"/>
        <v>-35456.253991736536</v>
      </c>
      <c r="H62" s="6">
        <f t="shared" si="3"/>
        <v>-56343.472310927478</v>
      </c>
      <c r="I62" s="6">
        <f t="shared" si="4"/>
        <v>50000</v>
      </c>
      <c r="J62" s="6" t="str">
        <f>IF(B62&lt;&gt;"",IF(AND(Input!$H$34="Annual",MOD(B62,12)=0),Input!$J$34,IF(AND(Input!$H$34="1st Installment",B62=1),Input!$J$34,IF(Input!$H$34="Monthly",Input!$J$34,""))),"")</f>
        <v/>
      </c>
      <c r="K62" s="6" t="str">
        <f>IF(B62&lt;&gt;"",IF(AND(Input!$H$35="Annual",MOD(B62,12)=0),Input!$J$35,IF(AND(Input!$H$35="1st Installment",B62=1),Input!$J$35,IF(Input!$H$35="Monthly",Input!$J$35,""))),"")</f>
        <v/>
      </c>
      <c r="L62" s="6">
        <f>IF(B62&lt;=$C$6,(_xlfn.IFNA(IF(AND(Input!$H$36="1st Installment",B62=1),Input!$I$36,IF(Input!$H$36="Monthly",VLOOKUP(A62,Input!$G$41:$L$46,6,0),IF(Input!$H$36="Annual",VLOOKUP('Auto Finance'!B62,Input!$K$41:$L$46,2,0),""))),""))," ")</f>
        <v>368</v>
      </c>
      <c r="M62" s="6">
        <f>IF(B62&lt;&gt;"",IF(AND(Input!$H$37="Annual",MOD(B62,12)=0),Input!$J$37,IF(AND(Input!$H$37="1st Installment",B62=1),Input!$J$37,IF(Input!$H$37="Monthly",Input!$J$37,IF(AND(Input!$H$37="End of the loan",B62=Input!$E$39),Input!$J$37,"")))),"")</f>
        <v>0</v>
      </c>
      <c r="N62" s="6">
        <f t="shared" si="13"/>
        <v>368</v>
      </c>
      <c r="O62" s="4">
        <f t="shared" si="1"/>
        <v>56711.472310927478</v>
      </c>
      <c r="S62" s="9">
        <f t="shared" si="10"/>
        <v>46660</v>
      </c>
      <c r="T62" s="5">
        <f t="shared" si="5"/>
        <v>56711.47</v>
      </c>
      <c r="U62" s="139"/>
      <c r="V62" s="106"/>
    </row>
    <row r="63" spans="1:22" x14ac:dyDescent="0.2">
      <c r="A63" s="1" t="str">
        <f t="shared" si="14"/>
        <v/>
      </c>
      <c r="B63" s="16" t="str">
        <f t="shared" si="6"/>
        <v/>
      </c>
      <c r="C63" s="162" t="str">
        <f t="shared" si="7"/>
        <v/>
      </c>
      <c r="D63" s="6" t="str">
        <f>IFERROR(PPMT(Input!$E$35/12,B63,$C$6,Input!$E$34,-$C$13,0)," ")</f>
        <v xml:space="preserve"> </v>
      </c>
      <c r="E63" s="6" t="str">
        <f>IFERROR(IPMT(Input!$E$35/12,B63,$C$6,Input!$E$34,-$C$13,0)," ")</f>
        <v xml:space="preserve"> </v>
      </c>
      <c r="F63" s="6" t="str">
        <f t="shared" si="8"/>
        <v/>
      </c>
      <c r="G63" s="6" t="str">
        <f t="shared" si="9"/>
        <v/>
      </c>
      <c r="H63" s="6" t="str">
        <f t="shared" si="3"/>
        <v/>
      </c>
      <c r="I63" s="6" t="str">
        <f t="shared" si="4"/>
        <v/>
      </c>
      <c r="J63" s="6" t="str">
        <f>IF(B63&lt;&gt;"",IF(AND(Input!$H$34="Annual",MOD(B63,12)=0),Input!$J$34,IF(AND(Input!$H$34="1st Installment",B63=1),Input!$J$34,IF(Input!$H$34="Monthly",Input!$J$34,""))),"")</f>
        <v/>
      </c>
      <c r="K63" s="6" t="str">
        <f>IF(B63&lt;&gt;"",IF(AND(Input!$H$35="Annual",MOD(B63,12)=0),Input!$J$35,IF(AND(Input!$H$35="1st Installment",B63=1),Input!$J$35,IF(Input!$H$35="Monthly",Input!$J$35,""))),"")</f>
        <v/>
      </c>
      <c r="L63" s="6" t="str">
        <f>IF(B63&lt;=$C$6,(_xlfn.IFNA(IF(AND(Input!$H$36="1st Installment",B63=1),Input!$I$36,IF(Input!$H$36="Monthly",VLOOKUP(A63,Input!$G$41:$L$46,6,0),IF(Input!$H$36="Annual",VLOOKUP('Auto Finance'!B63,Input!$K$41:$L$46,2,0),""))),""))," ")</f>
        <v xml:space="preserve"> </v>
      </c>
      <c r="M63" s="6" t="str">
        <f>IF(B63&lt;&gt;"",IF(AND(Input!$H$37="Annual",MOD(B63,12)=0),Input!$J$37,IF(AND(Input!$H$37="1st Installment",B63=1),Input!$J$37,IF(Input!$H$37="Monthly",Input!$J$37,IF(AND(Input!$H$37="End of the loan",B63=Input!$E$39),Input!$J$37,"")))),"")</f>
        <v/>
      </c>
      <c r="N63" s="6" t="str">
        <f t="shared" si="13"/>
        <v/>
      </c>
      <c r="O63" s="4" t="str">
        <f t="shared" si="1"/>
        <v/>
      </c>
      <c r="S63" s="9" t="str">
        <f t="shared" si="10"/>
        <v/>
      </c>
      <c r="T63" s="5" t="str">
        <f t="shared" si="5"/>
        <v xml:space="preserve"> </v>
      </c>
      <c r="U63" s="139"/>
      <c r="V63" s="106"/>
    </row>
    <row r="64" spans="1:22" x14ac:dyDescent="0.2">
      <c r="A64" s="1" t="str">
        <f t="shared" si="14"/>
        <v/>
      </c>
      <c r="B64" s="16" t="str">
        <f t="shared" si="6"/>
        <v/>
      </c>
      <c r="C64" s="162" t="str">
        <f t="shared" si="7"/>
        <v/>
      </c>
      <c r="D64" s="6" t="str">
        <f>IFERROR(PPMT(Input!$E$35/12,B64,$C$6,Input!$E$34,-$C$13,0)," ")</f>
        <v xml:space="preserve"> </v>
      </c>
      <c r="E64" s="6" t="str">
        <f>IFERROR(IPMT(Input!$E$35/12,B64,$C$6,Input!$E$34,-$C$13,0)," ")</f>
        <v xml:space="preserve"> </v>
      </c>
      <c r="F64" s="6" t="str">
        <f t="shared" si="8"/>
        <v/>
      </c>
      <c r="G64" s="6" t="str">
        <f t="shared" si="9"/>
        <v/>
      </c>
      <c r="H64" s="6" t="str">
        <f t="shared" si="3"/>
        <v/>
      </c>
      <c r="I64" s="6" t="str">
        <f t="shared" si="4"/>
        <v/>
      </c>
      <c r="J64" s="6" t="str">
        <f>IF(B64&lt;&gt;"",IF(AND(Input!$H$34="Annual",MOD(B64,12)=0),Input!$J$34,IF(AND(Input!$H$34="1st Installment",B64=1),Input!$J$34,IF(Input!$H$34="Monthly",Input!$J$34,""))),"")</f>
        <v/>
      </c>
      <c r="K64" s="6" t="str">
        <f>IF(B64&lt;&gt;"",IF(AND(Input!$H$35="Annual",MOD(B64,12)=0),Input!$J$35,IF(AND(Input!$H$35="1st Installment",B64=1),Input!$J$35,IF(Input!$H$35="Monthly",Input!$J$35,""))),"")</f>
        <v/>
      </c>
      <c r="L64" s="6" t="str">
        <f>IF(B64&lt;=$C$6,(_xlfn.IFNA(IF(AND(Input!$H$36="1st Installment",B64=1),Input!$I$36,IF(Input!$H$36="Monthly",VLOOKUP(A64,Input!$G$41:$L$46,6,0),IF(Input!$H$36="Annual",VLOOKUP('Auto Finance'!B64,Input!$K$41:$L$46,2,0),""))),""))," ")</f>
        <v xml:space="preserve"> </v>
      </c>
      <c r="M64" s="6" t="str">
        <f>IF(B64&lt;&gt;"",IF(AND(Input!$H$37="Annual",MOD(B64,12)=0),Input!$J$37,IF(AND(Input!$H$37="1st Installment",B64=1),Input!$J$37,IF(Input!$H$37="Monthly",Input!$J$37,IF(AND(Input!$H$37="End of the loan",B64=Input!$E$39),Input!$J$37,"")))),"")</f>
        <v/>
      </c>
      <c r="N64" s="6" t="str">
        <f t="shared" si="13"/>
        <v/>
      </c>
      <c r="O64" s="4" t="str">
        <f t="shared" si="1"/>
        <v/>
      </c>
      <c r="S64" s="9" t="str">
        <f t="shared" si="10"/>
        <v/>
      </c>
      <c r="T64" s="5" t="str">
        <f t="shared" si="5"/>
        <v xml:space="preserve"> </v>
      </c>
      <c r="U64" s="139"/>
      <c r="V64" s="106"/>
    </row>
    <row r="65" spans="1:22" x14ac:dyDescent="0.2">
      <c r="A65" s="1" t="str">
        <f t="shared" si="14"/>
        <v/>
      </c>
      <c r="B65" s="16" t="str">
        <f t="shared" si="6"/>
        <v/>
      </c>
      <c r="C65" s="162" t="str">
        <f t="shared" si="7"/>
        <v/>
      </c>
      <c r="D65" s="6" t="str">
        <f>IFERROR(PPMT(Input!$E$35/12,B65,$C$6,Input!$E$34,-$C$13,0)," ")</f>
        <v xml:space="preserve"> </v>
      </c>
      <c r="E65" s="6" t="str">
        <f>IFERROR(IPMT(Input!$E$35/12,B65,$C$6,Input!$E$34,-$C$13,0)," ")</f>
        <v xml:space="preserve"> </v>
      </c>
      <c r="F65" s="6" t="str">
        <f t="shared" si="8"/>
        <v/>
      </c>
      <c r="G65" s="6" t="str">
        <f t="shared" si="9"/>
        <v/>
      </c>
      <c r="H65" s="6" t="str">
        <f t="shared" si="3"/>
        <v/>
      </c>
      <c r="I65" s="6" t="str">
        <f t="shared" si="4"/>
        <v/>
      </c>
      <c r="J65" s="6" t="str">
        <f>IF(B65&lt;&gt;"",IF(AND(Input!$H$34="Annual",MOD(B65,12)=0),Input!$J$34,IF(AND(Input!$H$34="1st Installment",B65=1),Input!$J$34,IF(Input!$H$34="Monthly",Input!$J$34,""))),"")</f>
        <v/>
      </c>
      <c r="K65" s="6" t="str">
        <f>IF(B65&lt;&gt;"",IF(AND(Input!$H$35="Annual",MOD(B65,12)=0),Input!$J$35,IF(AND(Input!$H$35="1st Installment",B65=1),Input!$J$35,IF(Input!$H$35="Monthly",Input!$J$35,""))),"")</f>
        <v/>
      </c>
      <c r="L65" s="6" t="str">
        <f>IF(B65&lt;=$C$6,(_xlfn.IFNA(IF(AND(Input!$H$36="1st Installment",B65=1),Input!$I$36,IF(Input!$H$36="Monthly",VLOOKUP(A65,Input!$G$41:$L$46,6,0),IF(Input!$H$36="Annual",VLOOKUP('Auto Finance'!B65,Input!$K$41:$L$46,2,0),""))),""))," ")</f>
        <v xml:space="preserve"> </v>
      </c>
      <c r="M65" s="6" t="str">
        <f>IF(B65&lt;&gt;"",IF(AND(Input!$H$37="Annual",MOD(B65,12)=0),Input!$J$37,IF(AND(Input!$H$37="1st Installment",B65=1),Input!$J$37,IF(Input!$H$37="Monthly",Input!$J$37,IF(AND(Input!$H$37="End of the loan",B65=Input!$E$39),Input!$J$37,"")))),"")</f>
        <v/>
      </c>
      <c r="N65" s="6" t="str">
        <f t="shared" si="13"/>
        <v/>
      </c>
      <c r="O65" s="4" t="str">
        <f t="shared" si="1"/>
        <v/>
      </c>
      <c r="S65" s="9" t="str">
        <f t="shared" si="10"/>
        <v/>
      </c>
      <c r="T65" s="5" t="str">
        <f t="shared" si="5"/>
        <v xml:space="preserve"> </v>
      </c>
      <c r="U65" s="139"/>
      <c r="V65" s="106"/>
    </row>
    <row r="66" spans="1:22" x14ac:dyDescent="0.2">
      <c r="A66" s="1" t="str">
        <f>IF(B66&lt;&gt;"",5,"")</f>
        <v/>
      </c>
      <c r="B66" s="16" t="str">
        <f t="shared" si="6"/>
        <v/>
      </c>
      <c r="C66" s="162" t="str">
        <f t="shared" si="7"/>
        <v/>
      </c>
      <c r="D66" s="6" t="str">
        <f>IFERROR(PPMT(Input!$E$35/12,B66,$C$6,Input!$E$34,-$C$13,0)," ")</f>
        <v xml:space="preserve"> </v>
      </c>
      <c r="E66" s="6" t="str">
        <f>IFERROR(IPMT(Input!$E$35/12,B66,$C$6,Input!$E$34,-$C$13,0)," ")</f>
        <v xml:space="preserve"> </v>
      </c>
      <c r="F66" s="6" t="str">
        <f t="shared" si="8"/>
        <v/>
      </c>
      <c r="G66" s="6" t="str">
        <f t="shared" si="9"/>
        <v/>
      </c>
      <c r="H66" s="6" t="str">
        <f t="shared" si="3"/>
        <v/>
      </c>
      <c r="I66" s="6" t="str">
        <f t="shared" si="4"/>
        <v/>
      </c>
      <c r="J66" s="6" t="str">
        <f>IF(B66&lt;&gt;"",IF(AND(Input!$H$34="Annual",MOD(B66,12)=0),Input!$J$34,IF(AND(Input!$H$34="1st Installment",B66=1),Input!$J$34,IF(Input!$H$34="Monthly",Input!$J$34,""))),"")</f>
        <v/>
      </c>
      <c r="K66" s="6" t="str">
        <f>IF(B66&lt;&gt;"",IF(AND(Input!$H$35="Annual",MOD(B66,12)=0),Input!$J$35,IF(AND(Input!$H$35="1st Installment",B66=1),Input!$J$35,IF(Input!$H$35="Monthly",Input!$J$35,""))),"")</f>
        <v/>
      </c>
      <c r="L66" s="6" t="str">
        <f>IF(B66&lt;=$C$6,(_xlfn.IFNA(IF(AND(Input!$H$36="1st Installment",B66=1),Input!$I$36,IF(Input!$H$36="Monthly",VLOOKUP(A66,Input!$G$41:$L$46,6,0),IF(Input!$H$36="Annual",VLOOKUP('Auto Finance'!B66,Input!$K$41:$L$46,2,0),""))),""))," ")</f>
        <v xml:space="preserve"> </v>
      </c>
      <c r="M66" s="6" t="str">
        <f>IF(B66&lt;&gt;"",IF(AND(Input!$H$37="Annual",MOD(B66,12)=0),Input!$J$37,IF(AND(Input!$H$37="1st Installment",B66=1),Input!$J$37,IF(Input!$H$37="Monthly",Input!$J$37,IF(AND(Input!$H$37="End of the loan",B66=Input!$E$39),Input!$J$37,"")))),"")</f>
        <v/>
      </c>
      <c r="N66" s="6" t="str">
        <f t="shared" si="13"/>
        <v/>
      </c>
      <c r="O66" s="4" t="str">
        <f t="shared" si="1"/>
        <v/>
      </c>
      <c r="S66" s="9" t="str">
        <f t="shared" si="10"/>
        <v/>
      </c>
      <c r="T66" s="5" t="str">
        <f t="shared" si="5"/>
        <v xml:space="preserve"> </v>
      </c>
      <c r="U66" s="139"/>
      <c r="V66" s="106"/>
    </row>
    <row r="67" spans="1:22" x14ac:dyDescent="0.2">
      <c r="A67" s="1" t="str">
        <f t="shared" ref="A67:A73" si="15">IF(B67&lt;&gt;"",5,"")</f>
        <v/>
      </c>
      <c r="B67" s="16" t="str">
        <f t="shared" si="6"/>
        <v/>
      </c>
      <c r="C67" s="162" t="str">
        <f t="shared" si="7"/>
        <v/>
      </c>
      <c r="D67" s="6" t="str">
        <f>IFERROR(PPMT(Input!$E$35/12,B67,$C$6,Input!$E$34,-$C$13,0)," ")</f>
        <v xml:space="preserve"> </v>
      </c>
      <c r="E67" s="6" t="str">
        <f>IFERROR(IPMT(Input!$E$35/12,B67,$C$6,Input!$E$34,-$C$13,0)," ")</f>
        <v xml:space="preserve"> </v>
      </c>
      <c r="F67" s="6" t="str">
        <f t="shared" si="8"/>
        <v/>
      </c>
      <c r="G67" s="6" t="str">
        <f t="shared" si="9"/>
        <v/>
      </c>
      <c r="H67" s="6" t="str">
        <f t="shared" si="3"/>
        <v/>
      </c>
      <c r="I67" s="6" t="str">
        <f t="shared" si="4"/>
        <v/>
      </c>
      <c r="J67" s="6" t="str">
        <f>IF(B67&lt;&gt;"",IF(AND(Input!$H$34="Annual",MOD(B67,12)=0),Input!$J$34,IF(AND(Input!$H$34="1st Installment",B67=1),Input!$J$34,IF(Input!$H$34="Monthly",Input!$J$34,""))),"")</f>
        <v/>
      </c>
      <c r="K67" s="6" t="str">
        <f>IF(B67&lt;&gt;"",IF(AND(Input!$H$35="Annual",MOD(B67,12)=0),Input!$J$35,IF(AND(Input!$H$35="1st Installment",B67=1),Input!$J$35,IF(Input!$H$35="Monthly",Input!$J$35,""))),"")</f>
        <v/>
      </c>
      <c r="L67" s="6" t="str">
        <f>IF(B67&lt;=$C$6,(_xlfn.IFNA(IF(AND(Input!$H$36="1st Installment",B67=1),Input!$I$36,IF(Input!$H$36="Monthly",VLOOKUP(A67,Input!$G$41:$L$46,6,0),IF(Input!$H$36="Annual",VLOOKUP('Auto Finance'!B67,Input!$K$41:$L$46,2,0),""))),""))," ")</f>
        <v xml:space="preserve"> </v>
      </c>
      <c r="M67" s="6" t="str">
        <f>IF(B67&lt;&gt;"",IF(AND(Input!$H$37="Annual",MOD(B67,12)=0),Input!$J$37,IF(AND(Input!$H$37="1st Installment",B67=1),Input!$J$37,IF(Input!$H$37="Monthly",Input!$J$37,IF(AND(Input!$H$37="End of the loan",B67=Input!$E$39),Input!$J$37,"")))),"")</f>
        <v/>
      </c>
      <c r="N67" s="6" t="str">
        <f t="shared" si="13"/>
        <v/>
      </c>
      <c r="O67" s="4" t="str">
        <f t="shared" si="1"/>
        <v/>
      </c>
      <c r="S67" s="9" t="str">
        <f t="shared" si="10"/>
        <v/>
      </c>
      <c r="T67" s="5" t="str">
        <f t="shared" si="5"/>
        <v xml:space="preserve"> </v>
      </c>
      <c r="U67" s="139"/>
      <c r="V67" s="106"/>
    </row>
    <row r="68" spans="1:22" x14ac:dyDescent="0.2">
      <c r="A68" s="1" t="str">
        <f t="shared" si="15"/>
        <v/>
      </c>
      <c r="B68" s="16" t="str">
        <f t="shared" si="6"/>
        <v/>
      </c>
      <c r="C68" s="162" t="str">
        <f t="shared" si="7"/>
        <v/>
      </c>
      <c r="D68" s="6" t="str">
        <f>IFERROR(PPMT(Input!$E$35/12,B68,$C$6,Input!$E$34,-$C$13,0)," ")</f>
        <v xml:space="preserve"> </v>
      </c>
      <c r="E68" s="6" t="str">
        <f>IFERROR(IPMT(Input!$E$35/12,B68,$C$6,Input!$E$34,-$C$13,0)," ")</f>
        <v xml:space="preserve"> </v>
      </c>
      <c r="F68" s="6" t="str">
        <f t="shared" si="8"/>
        <v/>
      </c>
      <c r="G68" s="6" t="str">
        <f t="shared" si="9"/>
        <v/>
      </c>
      <c r="H68" s="6" t="str">
        <f t="shared" si="3"/>
        <v/>
      </c>
      <c r="I68" s="6" t="str">
        <f t="shared" si="4"/>
        <v/>
      </c>
      <c r="J68" s="6" t="str">
        <f>IF(B68&lt;&gt;"",IF(AND(Input!$H$34="Annual",MOD(B68,12)=0),Input!$J$34,IF(AND(Input!$H$34="1st Installment",B68=1),Input!$J$34,IF(Input!$H$34="Monthly",Input!$J$34,""))),"")</f>
        <v/>
      </c>
      <c r="K68" s="6" t="str">
        <f>IF(B68&lt;&gt;"",IF(AND(Input!$H$35="Annual",MOD(B68,12)=0),Input!$J$35,IF(AND(Input!$H$35="1st Installment",B68=1),Input!$J$35,IF(Input!$H$35="Monthly",Input!$J$35,""))),"")</f>
        <v/>
      </c>
      <c r="L68" s="6" t="str">
        <f>IF(B68&lt;=$C$6,(_xlfn.IFNA(IF(AND(Input!$H$36="1st Installment",B68=1),Input!$I$36,IF(Input!$H$36="Monthly",VLOOKUP(A68,Input!$G$41:$L$46,6,0),IF(Input!$H$36="Annual",VLOOKUP('Auto Finance'!B68,Input!$K$41:$L$46,2,0),""))),""))," ")</f>
        <v xml:space="preserve"> </v>
      </c>
      <c r="M68" s="6" t="str">
        <f>IF(B68&lt;&gt;"",IF(AND(Input!$H$37="Annual",MOD(B68,12)=0),Input!$J$37,IF(AND(Input!$H$37="1st Installment",B68=1),Input!$J$37,IF(Input!$H$37="Monthly",Input!$J$37,IF(AND(Input!$H$37="End of the loan",B68=Input!$E$39),Input!$J$37,"")))),"")</f>
        <v/>
      </c>
      <c r="N68" s="6" t="str">
        <f t="shared" si="13"/>
        <v/>
      </c>
      <c r="O68" s="4" t="str">
        <f t="shared" si="1"/>
        <v/>
      </c>
      <c r="S68" s="9" t="str">
        <f t="shared" si="10"/>
        <v/>
      </c>
      <c r="T68" s="5" t="str">
        <f t="shared" si="5"/>
        <v xml:space="preserve"> </v>
      </c>
      <c r="U68" s="139"/>
      <c r="V68" s="106"/>
    </row>
    <row r="69" spans="1:22" x14ac:dyDescent="0.2">
      <c r="A69" s="1" t="str">
        <f t="shared" si="15"/>
        <v/>
      </c>
      <c r="B69" s="16" t="str">
        <f t="shared" si="6"/>
        <v/>
      </c>
      <c r="C69" s="162" t="str">
        <f t="shared" si="7"/>
        <v/>
      </c>
      <c r="D69" s="6" t="str">
        <f>IFERROR(PPMT(Input!$E$35/12,B69,$C$6,Input!$E$34,-$C$13,0)," ")</f>
        <v xml:space="preserve"> </v>
      </c>
      <c r="E69" s="6" t="str">
        <f>IFERROR(IPMT(Input!$E$35/12,B69,$C$6,Input!$E$34,-$C$13,0)," ")</f>
        <v xml:space="preserve"> </v>
      </c>
      <c r="F69" s="6" t="str">
        <f t="shared" si="8"/>
        <v/>
      </c>
      <c r="G69" s="6" t="str">
        <f t="shared" si="9"/>
        <v/>
      </c>
      <c r="H69" s="6" t="str">
        <f t="shared" si="3"/>
        <v/>
      </c>
      <c r="I69" s="6" t="str">
        <f t="shared" si="4"/>
        <v/>
      </c>
      <c r="J69" s="6" t="str">
        <f>IF(B69&lt;&gt;"",IF(AND(Input!$H$34="Annual",MOD(B69,12)=0),Input!$J$34,IF(AND(Input!$H$34="1st Installment",B69=1),Input!$J$34,IF(Input!$H$34="Monthly",Input!$J$34,""))),"")</f>
        <v/>
      </c>
      <c r="K69" s="6" t="str">
        <f>IF(B69&lt;&gt;"",IF(AND(Input!$H$35="Annual",MOD(B69,12)=0),Input!$J$35,IF(AND(Input!$H$35="1st Installment",B69=1),Input!$J$35,IF(Input!$H$35="Monthly",Input!$J$35,""))),"")</f>
        <v/>
      </c>
      <c r="L69" s="6" t="str">
        <f>IF(B69&lt;=$C$6,(_xlfn.IFNA(IF(AND(Input!$H$36="1st Installment",B69=1),Input!$I$36,IF(Input!$H$36="Monthly",VLOOKUP(A69,Input!$G$41:$L$46,6,0),IF(Input!$H$36="Annual",VLOOKUP('Auto Finance'!B69,Input!$K$41:$L$46,2,0),""))),""))," ")</f>
        <v xml:space="preserve"> </v>
      </c>
      <c r="M69" s="6" t="str">
        <f>IF(B69&lt;&gt;"",IF(AND(Input!$H$37="Annual",MOD(B69,12)=0),Input!$J$37,IF(AND(Input!$H$37="1st Installment",B69=1),Input!$J$37,IF(Input!$H$37="Monthly",Input!$J$37,IF(AND(Input!$H$37="End of the loan",B69=Input!$E$39),Input!$J$37,"")))),"")</f>
        <v/>
      </c>
      <c r="N69" s="6" t="str">
        <f t="shared" si="13"/>
        <v/>
      </c>
      <c r="O69" s="4" t="str">
        <f t="shared" si="1"/>
        <v/>
      </c>
      <c r="S69" s="9" t="str">
        <f t="shared" si="10"/>
        <v/>
      </c>
      <c r="T69" s="5" t="str">
        <f t="shared" si="5"/>
        <v xml:space="preserve"> </v>
      </c>
      <c r="U69" s="139"/>
      <c r="V69" s="106"/>
    </row>
    <row r="70" spans="1:22" x14ac:dyDescent="0.2">
      <c r="A70" s="1" t="str">
        <f t="shared" si="15"/>
        <v/>
      </c>
      <c r="B70" s="16" t="str">
        <f t="shared" si="6"/>
        <v/>
      </c>
      <c r="C70" s="162" t="str">
        <f t="shared" si="7"/>
        <v/>
      </c>
      <c r="D70" s="6" t="str">
        <f>IFERROR(PPMT(Input!$E$35/12,B70,$C$6,Input!$E$34,-$C$13,0)," ")</f>
        <v xml:space="preserve"> </v>
      </c>
      <c r="E70" s="6" t="str">
        <f>IFERROR(IPMT(Input!$E$35/12,B70,$C$6,Input!$E$34,-$C$13,0)," ")</f>
        <v xml:space="preserve"> </v>
      </c>
      <c r="F70" s="6" t="str">
        <f t="shared" si="8"/>
        <v/>
      </c>
      <c r="G70" s="6" t="str">
        <f t="shared" si="9"/>
        <v/>
      </c>
      <c r="H70" s="6" t="str">
        <f t="shared" si="3"/>
        <v/>
      </c>
      <c r="I70" s="6" t="str">
        <f t="shared" si="4"/>
        <v/>
      </c>
      <c r="J70" s="6" t="str">
        <f>IF(B70&lt;&gt;"",IF(AND(Input!$H$34="Annual",MOD(B70,12)=0),Input!$J$34,IF(AND(Input!$H$34="1st Installment",B70=1),Input!$J$34,IF(Input!$H$34="Monthly",Input!$J$34,""))),"")</f>
        <v/>
      </c>
      <c r="K70" s="6" t="str">
        <f>IF(B70&lt;&gt;"",IF(AND(Input!$H$35="Annual",MOD(B70,12)=0),Input!$J$35,IF(AND(Input!$H$35="1st Installment",B70=1),Input!$J$35,IF(Input!$H$35="Monthly",Input!$J$35,""))),"")</f>
        <v/>
      </c>
      <c r="L70" s="6" t="str">
        <f>IF(B70&lt;=$C$6,(_xlfn.IFNA(IF(AND(Input!$H$36="1st Installment",B70=1),Input!$I$36,IF(Input!$H$36="Monthly",VLOOKUP(A70,Input!$G$41:$L$46,6,0),IF(Input!$H$36="Annual",VLOOKUP('Auto Finance'!B70,Input!$K$41:$L$46,2,0),""))),""))," ")</f>
        <v xml:space="preserve"> </v>
      </c>
      <c r="M70" s="6" t="str">
        <f>IF(B70&lt;&gt;"",IF(AND(Input!$H$37="Annual",MOD(B70,12)=0),Input!$J$37,IF(AND(Input!$H$37="1st Installment",B70=1),Input!$J$37,IF(Input!$H$37="Monthly",Input!$J$37,IF(AND(Input!$H$37="End of the loan",B70=Input!$E$39),Input!$J$37,"")))),"")</f>
        <v/>
      </c>
      <c r="N70" s="6" t="str">
        <f t="shared" si="13"/>
        <v/>
      </c>
      <c r="O70" s="4" t="str">
        <f t="shared" si="1"/>
        <v/>
      </c>
      <c r="S70" s="9" t="str">
        <f t="shared" si="10"/>
        <v/>
      </c>
      <c r="T70" s="5" t="str">
        <f t="shared" si="5"/>
        <v xml:space="preserve"> </v>
      </c>
      <c r="U70" s="139"/>
      <c r="V70" s="106"/>
    </row>
    <row r="71" spans="1:22" x14ac:dyDescent="0.2">
      <c r="A71" s="1" t="str">
        <f t="shared" si="15"/>
        <v/>
      </c>
      <c r="B71" s="16" t="str">
        <f t="shared" si="6"/>
        <v/>
      </c>
      <c r="C71" s="162" t="str">
        <f t="shared" si="7"/>
        <v/>
      </c>
      <c r="D71" s="6" t="str">
        <f>IFERROR(PPMT(Input!$E$35/12,B71,$C$6,Input!$E$34,-$C$13,0)," ")</f>
        <v xml:space="preserve"> </v>
      </c>
      <c r="E71" s="6" t="str">
        <f>IFERROR(IPMT(Input!$E$35/12,B71,$C$6,Input!$E$34,-$C$13,0)," ")</f>
        <v xml:space="preserve"> </v>
      </c>
      <c r="F71" s="6" t="str">
        <f t="shared" si="8"/>
        <v/>
      </c>
      <c r="G71" s="6" t="str">
        <f t="shared" si="9"/>
        <v/>
      </c>
      <c r="H71" s="6" t="str">
        <f t="shared" si="3"/>
        <v/>
      </c>
      <c r="I71" s="6" t="str">
        <f t="shared" si="4"/>
        <v/>
      </c>
      <c r="J71" s="6" t="str">
        <f>IF(B71&lt;&gt;"",IF(AND(Input!$H$34="Annual",MOD(B71,12)=0),Input!$J$34,IF(AND(Input!$H$34="1st Installment",B71=1),Input!$J$34,IF(Input!$H$34="Monthly",Input!$J$34,""))),"")</f>
        <v/>
      </c>
      <c r="K71" s="6" t="str">
        <f>IF(B71&lt;&gt;"",IF(AND(Input!$H$35="Annual",MOD(B71,12)=0),Input!$J$35,IF(AND(Input!$H$35="1st Installment",B71=1),Input!$J$35,IF(Input!$H$35="Monthly",Input!$J$35,""))),"")</f>
        <v/>
      </c>
      <c r="L71" s="6" t="str">
        <f>IF(B71&lt;=$C$6,(_xlfn.IFNA(IF(AND(Input!$H$36="1st Installment",B71=1),Input!$I$36,IF(Input!$H$36="Monthly",VLOOKUP(A71,Input!$G$41:$L$46,6,0),IF(Input!$H$36="Annual",VLOOKUP('Auto Finance'!B71,Input!$K$41:$L$46,2,0),""))),""))," ")</f>
        <v xml:space="preserve"> </v>
      </c>
      <c r="M71" s="6" t="str">
        <f>IF(B71&lt;&gt;"",IF(AND(Input!$H$37="Annual",MOD(B71,12)=0),Input!$J$37,IF(AND(Input!$H$37="1st Installment",B71=1),Input!$J$37,IF(Input!$H$37="Monthly",Input!$J$37,IF(AND(Input!$H$37="End of the loan",B71=Input!$E$39),Input!$J$37,"")))),"")</f>
        <v/>
      </c>
      <c r="N71" s="6" t="str">
        <f t="shared" si="13"/>
        <v/>
      </c>
      <c r="O71" s="4" t="str">
        <f t="shared" si="1"/>
        <v/>
      </c>
      <c r="S71" s="9" t="str">
        <f t="shared" si="10"/>
        <v/>
      </c>
      <c r="T71" s="5" t="str">
        <f t="shared" si="5"/>
        <v xml:space="preserve"> </v>
      </c>
      <c r="U71" s="139"/>
      <c r="V71" s="106"/>
    </row>
    <row r="72" spans="1:22" x14ac:dyDescent="0.2">
      <c r="A72" s="1" t="str">
        <f t="shared" si="15"/>
        <v/>
      </c>
      <c r="B72" s="16" t="str">
        <f t="shared" si="6"/>
        <v/>
      </c>
      <c r="C72" s="162" t="str">
        <f t="shared" si="7"/>
        <v/>
      </c>
      <c r="D72" s="6" t="str">
        <f>IFERROR(PPMT(Input!$E$35/12,B72,$C$6,Input!$E$34,-$C$13,0)," ")</f>
        <v xml:space="preserve"> </v>
      </c>
      <c r="E72" s="6" t="str">
        <f>IFERROR(IPMT(Input!$E$35/12,B72,$C$6,Input!$E$34,-$C$13,0)," ")</f>
        <v xml:space="preserve"> </v>
      </c>
      <c r="F72" s="6" t="str">
        <f t="shared" si="8"/>
        <v/>
      </c>
      <c r="G72" s="6" t="str">
        <f t="shared" si="9"/>
        <v/>
      </c>
      <c r="H72" s="6" t="str">
        <f t="shared" si="3"/>
        <v/>
      </c>
      <c r="I72" s="6" t="str">
        <f t="shared" si="4"/>
        <v/>
      </c>
      <c r="J72" s="6" t="str">
        <f>IF(B72&lt;&gt;"",IF(AND(Input!$H$34="Annual",MOD(B72,12)=0),Input!$J$34,IF(AND(Input!$H$34="1st Installment",B72=1),Input!$J$34,IF(Input!$H$34="Monthly",Input!$J$34,""))),"")</f>
        <v/>
      </c>
      <c r="K72" s="6" t="str">
        <f>IF(B72&lt;&gt;"",IF(AND(Input!$H$35="Annual",MOD(B72,12)=0),Input!$J$35,IF(AND(Input!$H$35="1st Installment",B72=1),Input!$J$35,IF(Input!$H$35="Monthly",Input!$J$35,""))),"")</f>
        <v/>
      </c>
      <c r="L72" s="6" t="str">
        <f>IF(B72&lt;=$C$6,(_xlfn.IFNA(IF(AND(Input!$H$36="1st Installment",B72=1),Input!$I$36,IF(Input!$H$36="Monthly",VLOOKUP(A72,Input!$G$41:$L$46,6,0),IF(Input!$H$36="Annual",VLOOKUP('Auto Finance'!B72,Input!$K$41:$L$46,2,0),""))),""))," ")</f>
        <v xml:space="preserve"> </v>
      </c>
      <c r="M72" s="6" t="str">
        <f>IF(B72&lt;&gt;"",IF(AND(Input!$H$37="Annual",MOD(B72,12)=0),Input!$J$37,IF(AND(Input!$H$37="1st Installment",B72=1),Input!$J$37,IF(Input!$H$37="Monthly",Input!$J$37,IF(AND(Input!$H$37="End of the loan",B72=Input!$E$39),Input!$J$37,"")))),"")</f>
        <v/>
      </c>
      <c r="N72" s="6" t="str">
        <f t="shared" si="13"/>
        <v/>
      </c>
      <c r="O72" s="4" t="str">
        <f t="shared" si="1"/>
        <v/>
      </c>
      <c r="S72" s="9" t="str">
        <f t="shared" si="10"/>
        <v/>
      </c>
      <c r="T72" s="5" t="str">
        <f t="shared" si="5"/>
        <v xml:space="preserve"> </v>
      </c>
      <c r="U72" s="139"/>
      <c r="V72" s="106"/>
    </row>
    <row r="73" spans="1:22" x14ac:dyDescent="0.2">
      <c r="A73" s="1" t="str">
        <f t="shared" si="15"/>
        <v/>
      </c>
      <c r="B73" s="16" t="str">
        <f t="shared" si="6"/>
        <v/>
      </c>
      <c r="C73" s="162" t="str">
        <f t="shared" si="7"/>
        <v/>
      </c>
      <c r="D73" s="6" t="str">
        <f>IFERROR(PPMT(Input!$E$35/12,B73,$C$6,Input!$E$34,-$C$13,0)," ")</f>
        <v xml:space="preserve"> </v>
      </c>
      <c r="E73" s="6" t="str">
        <f>IFERROR(IPMT(Input!$E$35/12,B73,$C$6,Input!$E$34,-$C$13,0)," ")</f>
        <v xml:space="preserve"> </v>
      </c>
      <c r="F73" s="6" t="str">
        <f t="shared" si="8"/>
        <v/>
      </c>
      <c r="G73" s="6" t="str">
        <f t="shared" si="9"/>
        <v/>
      </c>
      <c r="H73" s="6" t="str">
        <f t="shared" si="3"/>
        <v/>
      </c>
      <c r="I73" s="6" t="str">
        <f t="shared" si="4"/>
        <v/>
      </c>
      <c r="J73" s="6" t="str">
        <f>IF(B73&lt;&gt;"",IF(AND(Input!$H$34="Annual",MOD(B73,12)=0),Input!$J$34,IF(AND(Input!$H$34="1st Installment",B73=1),Input!$J$34,IF(Input!$H$34="Monthly",Input!$J$34,""))),"")</f>
        <v/>
      </c>
      <c r="K73" s="6" t="str">
        <f>IF(B73&lt;&gt;"",IF(AND(Input!$H$35="Annual",MOD(B73,12)=0),Input!$J$35,IF(AND(Input!$H$35="1st Installment",B73=1),Input!$J$35,IF(Input!$H$35="Monthly",Input!$J$35,""))),"")</f>
        <v/>
      </c>
      <c r="L73" s="6" t="str">
        <f>IF(B73&lt;=$C$6,(_xlfn.IFNA(IF(AND(Input!$H$36="1st Installment",B73=1),Input!$I$36,IF(Input!$H$36="Monthly",VLOOKUP(A73,Input!$G$41:$L$46,6,0),IF(Input!$H$36="Annual",VLOOKUP('Auto Finance'!B73,Input!$K$41:$L$46,2,0),""))),""))," ")</f>
        <v xml:space="preserve"> </v>
      </c>
      <c r="M73" s="6" t="str">
        <f>IF(B73&lt;&gt;"",IF(AND(Input!$H$37="Annual",MOD(B73,12)=0),Input!$J$37,IF(AND(Input!$H$37="1st Installment",B73=1),Input!$J$37,IF(Input!$H$37="Monthly",Input!$J$37,IF(AND(Input!$H$37="End of the loan",B73=Input!$E$39),Input!$J$37,"")))),"")</f>
        <v/>
      </c>
      <c r="N73" s="6" t="str">
        <f t="shared" si="13"/>
        <v/>
      </c>
      <c r="O73" s="4" t="str">
        <f t="shared" si="1"/>
        <v/>
      </c>
      <c r="S73" s="9" t="str">
        <f t="shared" si="10"/>
        <v/>
      </c>
      <c r="T73" s="5" t="str">
        <f t="shared" si="5"/>
        <v xml:space="preserve"> </v>
      </c>
      <c r="U73" s="139"/>
      <c r="V73" s="106"/>
    </row>
    <row r="74" spans="1:22" x14ac:dyDescent="0.2">
      <c r="A74" s="1" t="str">
        <f t="shared" ref="A74:A82" si="16">IF(B74&lt;&gt;"",5,"")</f>
        <v/>
      </c>
      <c r="B74" s="16" t="str">
        <f t="shared" si="6"/>
        <v/>
      </c>
      <c r="C74" s="162" t="str">
        <f t="shared" si="7"/>
        <v/>
      </c>
      <c r="D74" s="6" t="str">
        <f>IFERROR(PPMT(Input!$E$35/12,B74,$C$6,Input!$E$34,-$C$13,0)," ")</f>
        <v xml:space="preserve"> </v>
      </c>
      <c r="E74" s="6" t="str">
        <f>IFERROR(IPMT(Input!$E$35/12,B74,$C$6,Input!$E$34,-$C$13,0)," ")</f>
        <v xml:space="preserve"> </v>
      </c>
      <c r="F74" s="6" t="str">
        <f t="shared" ref="F74:F77" si="17">IF(B74&lt;=$C$6,F73+D74,"")</f>
        <v/>
      </c>
      <c r="G74" s="6" t="str">
        <f t="shared" ref="G74:G77" si="18">IF(B74&lt;=$C$6,G73+E74,"")</f>
        <v/>
      </c>
      <c r="H74" s="6" t="str">
        <f t="shared" si="3"/>
        <v/>
      </c>
      <c r="I74" s="6" t="str">
        <f t="shared" ref="I74:I77" si="19">+IFERROR($C$8+F74,"")</f>
        <v/>
      </c>
      <c r="J74" s="6" t="str">
        <f>IF(B74&lt;&gt;"",IF(AND(Input!$H$34="Annual",MOD(B74,12)=0),Input!$J$34,IF(AND(Input!$H$34="1st Installment",B74=1),Input!$J$34,IF(Input!$H$34="Monthly",Input!$J$34,""))),"")</f>
        <v/>
      </c>
      <c r="K74" s="6" t="str">
        <f>IF(B74&lt;&gt;"",IF(AND(Input!$H$35="Annual",MOD(B74,12)=0),Input!$J$35,IF(AND(Input!$H$35="1st Installment",B74=1),Input!$J$35,IF(Input!$H$35="Monthly",Input!$J$35,""))),"")</f>
        <v/>
      </c>
      <c r="L74" s="6" t="str">
        <f>IF(B74&lt;=$C$6,(_xlfn.IFNA(IF(AND(Input!$H$36="1st Installment",B74=1),Input!$I$36,IF(Input!$H$36="Monthly",VLOOKUP(A74,Input!$G$41:$L$46,6,0),IF(Input!$H$36="Annual",VLOOKUP('Auto Finance'!B74,Input!$K$41:$L$46,2,0),""))),""))," ")</f>
        <v xml:space="preserve"> </v>
      </c>
      <c r="M74" s="6" t="str">
        <f>IF(B74&lt;&gt;"",IF(AND(Input!$H$37="Annual",MOD(B74,12)=0),Input!$J$37,IF(AND(Input!$H$37="1st Installment",B74=1),Input!$J$37,IF(Input!$H$37="Monthly",Input!$J$37,IF(AND(Input!$H$37="End of the loan",B74=Input!$E$39),Input!$J$37,"")))),"")</f>
        <v/>
      </c>
      <c r="N74" s="6" t="str">
        <f t="shared" ref="N74:N77" si="20">IF(B74&lt;&gt;"",SUM(J74:M74),"")</f>
        <v/>
      </c>
      <c r="O74" s="4" t="str">
        <f t="shared" ref="O74:O77" si="21">IF(B74&lt;&gt;"",(-H74+N74),"")</f>
        <v/>
      </c>
      <c r="S74" s="9" t="str">
        <f t="shared" ref="S74:S77" si="22">C74</f>
        <v/>
      </c>
      <c r="T74" s="5" t="str">
        <f t="shared" si="5"/>
        <v xml:space="preserve"> </v>
      </c>
      <c r="U74" s="139"/>
      <c r="V74" s="106"/>
    </row>
    <row r="75" spans="1:22" x14ac:dyDescent="0.2">
      <c r="A75" s="1" t="str">
        <f t="shared" si="16"/>
        <v/>
      </c>
      <c r="B75" s="16" t="str">
        <f t="shared" si="6"/>
        <v/>
      </c>
      <c r="C75" s="162" t="str">
        <f t="shared" si="7"/>
        <v/>
      </c>
      <c r="D75" s="6" t="str">
        <f>IFERROR(PPMT(Input!$E$35/12,B75,$C$6,Input!$E$34,-$C$13,0)," ")</f>
        <v xml:space="preserve"> </v>
      </c>
      <c r="E75" s="6" t="str">
        <f>IFERROR(IPMT(Input!$E$35/12,B75,$C$6,Input!$E$34,-$C$13,0)," ")</f>
        <v xml:space="preserve"> </v>
      </c>
      <c r="F75" s="6" t="str">
        <f t="shared" si="17"/>
        <v/>
      </c>
      <c r="G75" s="6" t="str">
        <f t="shared" si="18"/>
        <v/>
      </c>
      <c r="H75" s="6" t="str">
        <f t="shared" si="3"/>
        <v/>
      </c>
      <c r="I75" s="6" t="str">
        <f t="shared" si="19"/>
        <v/>
      </c>
      <c r="J75" s="6" t="str">
        <f>IF(B75&lt;&gt;"",IF(AND(Input!$H$34="Annual",MOD(B75,12)=0),Input!$J$34,IF(AND(Input!$H$34="1st Installment",B75=1),Input!$J$34,IF(Input!$H$34="Monthly",Input!$J$34,""))),"")</f>
        <v/>
      </c>
      <c r="K75" s="6" t="str">
        <f>IF(B75&lt;&gt;"",IF(AND(Input!$H$35="Annual",MOD(B75,12)=0),Input!$J$35,IF(AND(Input!$H$35="1st Installment",B75=1),Input!$J$35,IF(Input!$H$35="Monthly",Input!$J$35,""))),"")</f>
        <v/>
      </c>
      <c r="L75" s="6" t="str">
        <f>IF(B75&lt;=$C$6,(_xlfn.IFNA(IF(AND(Input!$H$36="1st Installment",B75=1),Input!$I$36,IF(Input!$H$36="Monthly",VLOOKUP(A75,Input!$G$41:$L$46,6,0),IF(Input!$H$36="Annual",VLOOKUP('Auto Finance'!B75,Input!$K$41:$L$46,2,0),""))),""))," ")</f>
        <v xml:space="preserve"> </v>
      </c>
      <c r="M75" s="6" t="str">
        <f>IF(B75&lt;&gt;"",IF(AND(Input!$H$37="Annual",MOD(B75,12)=0),Input!$J$37,IF(AND(Input!$H$37="1st Installment",B75=1),Input!$J$37,IF(Input!$H$37="Monthly",Input!$J$37,IF(AND(Input!$H$37="End of the loan",B75=Input!$E$39),Input!$J$37,"")))),"")</f>
        <v/>
      </c>
      <c r="N75" s="6" t="str">
        <f t="shared" si="20"/>
        <v/>
      </c>
      <c r="O75" s="4" t="str">
        <f t="shared" si="21"/>
        <v/>
      </c>
      <c r="S75" s="9" t="str">
        <f t="shared" si="22"/>
        <v/>
      </c>
      <c r="T75" s="5" t="str">
        <f t="shared" si="5"/>
        <v xml:space="preserve"> </v>
      </c>
      <c r="U75" s="139"/>
      <c r="V75" s="106"/>
    </row>
    <row r="76" spans="1:22" x14ac:dyDescent="0.2">
      <c r="A76" s="1" t="str">
        <f t="shared" si="16"/>
        <v/>
      </c>
      <c r="B76" s="16" t="str">
        <f t="shared" si="6"/>
        <v/>
      </c>
      <c r="C76" s="162" t="str">
        <f t="shared" si="7"/>
        <v/>
      </c>
      <c r="D76" s="6" t="str">
        <f>IFERROR(PPMT(Input!$E$35/12,B76,$C$6,Input!$E$34,-$C$13,0)," ")</f>
        <v xml:space="preserve"> </v>
      </c>
      <c r="E76" s="6" t="str">
        <f>IFERROR(IPMT(Input!$E$35/12,B76,$C$6,Input!$E$34,-$C$13,0)," ")</f>
        <v xml:space="preserve"> </v>
      </c>
      <c r="F76" s="6" t="str">
        <f t="shared" si="17"/>
        <v/>
      </c>
      <c r="G76" s="6" t="str">
        <f t="shared" si="18"/>
        <v/>
      </c>
      <c r="H76" s="6" t="str">
        <f t="shared" si="3"/>
        <v/>
      </c>
      <c r="I76" s="6" t="str">
        <f t="shared" si="19"/>
        <v/>
      </c>
      <c r="J76" s="6" t="str">
        <f>IF(B76&lt;&gt;"",IF(AND(Input!$H$34="Annual",MOD(B76,12)=0),Input!$J$34,IF(AND(Input!$H$34="1st Installment",B76=1),Input!$J$34,IF(Input!$H$34="Monthly",Input!$J$34,""))),"")</f>
        <v/>
      </c>
      <c r="K76" s="6" t="str">
        <f>IF(B76&lt;&gt;"",IF(AND(Input!$H$35="Annual",MOD(B76,12)=0),Input!$J$35,IF(AND(Input!$H$35="1st Installment",B76=1),Input!$J$35,IF(Input!$H$35="Monthly",Input!$J$35,""))),"")</f>
        <v/>
      </c>
      <c r="L76" s="6" t="str">
        <f>IF(B76&lt;=$C$6,(_xlfn.IFNA(IF(AND(Input!$H$36="1st Installment",B76=1),Input!$I$36,IF(Input!$H$36="Monthly",VLOOKUP(A76,Input!$G$41:$L$46,6,0),IF(Input!$H$36="Annual",VLOOKUP('Auto Finance'!B76,Input!$K$41:$L$46,2,0),""))),""))," ")</f>
        <v xml:space="preserve"> </v>
      </c>
      <c r="M76" s="6" t="str">
        <f>IF(B76&lt;&gt;"",IF(AND(Input!$H$37="Annual",MOD(B76,12)=0),Input!$J$37,IF(AND(Input!$H$37="1st Installment",B76=1),Input!$J$37,IF(Input!$H$37="Monthly",Input!$J$37,IF(AND(Input!$H$37="End of the loan",B76=Input!$E$39),Input!$J$37,"")))),"")</f>
        <v/>
      </c>
      <c r="N76" s="6" t="str">
        <f t="shared" si="20"/>
        <v/>
      </c>
      <c r="O76" s="4" t="str">
        <f t="shared" si="21"/>
        <v/>
      </c>
      <c r="S76" s="9" t="str">
        <f t="shared" si="22"/>
        <v/>
      </c>
      <c r="T76" s="5" t="str">
        <f t="shared" si="5"/>
        <v xml:space="preserve"> </v>
      </c>
      <c r="U76" s="139"/>
      <c r="V76" s="106"/>
    </row>
    <row r="77" spans="1:22" x14ac:dyDescent="0.2">
      <c r="A77" s="1" t="str">
        <f t="shared" si="16"/>
        <v/>
      </c>
      <c r="B77" s="16" t="str">
        <f t="shared" si="6"/>
        <v/>
      </c>
      <c r="C77" s="162" t="str">
        <f t="shared" si="7"/>
        <v/>
      </c>
      <c r="D77" s="6" t="str">
        <f>IFERROR(PPMT(Input!$E$35/12,B77,$C$6,Input!$E$34,-$C$13,0)," ")</f>
        <v xml:space="preserve"> </v>
      </c>
      <c r="E77" s="6" t="str">
        <f>IFERROR(IPMT(Input!$E$35/12,B77,$C$6,Input!$E$34,-$C$13,0)," ")</f>
        <v xml:space="preserve"> </v>
      </c>
      <c r="F77" s="6" t="str">
        <f t="shared" si="17"/>
        <v/>
      </c>
      <c r="G77" s="6" t="str">
        <f t="shared" si="18"/>
        <v/>
      </c>
      <c r="H77" s="156" t="str">
        <f t="shared" si="3"/>
        <v/>
      </c>
      <c r="I77" s="6" t="str">
        <f t="shared" si="19"/>
        <v/>
      </c>
      <c r="J77" s="6" t="str">
        <f>IF(B77&lt;&gt;"",IF(AND(Input!$H$34="Annual",MOD(B77,12)=0),Input!$J$34,IF(AND(Input!$H$34="1st Installment",B77=1),Input!$J$34,IF(Input!$H$34="Monthly",Input!$J$34,""))),"")</f>
        <v/>
      </c>
      <c r="K77" s="6" t="str">
        <f>IF(B77&lt;&gt;"",IF(AND(Input!$H$35="Annual",MOD(B77,12)=0),Input!$J$35,IF(AND(Input!$H$35="1st Installment",B77=1),Input!$J$35,IF(Input!$H$35="Monthly",Input!$J$35,""))),"")</f>
        <v/>
      </c>
      <c r="L77" s="6" t="str">
        <f>IF(B77&lt;=$C$6,(_xlfn.IFNA(IF(AND(Input!$H$36="1st Installment",B77=1),Input!$I$36,IF(Input!$H$36="Monthly",VLOOKUP(A77,Input!$G$41:$L$46,6,0),IF(Input!$H$36="Annual",VLOOKUP('Auto Finance'!B77,Input!$K$41:$L$46,2,0),""))),""))," ")</f>
        <v xml:space="preserve"> </v>
      </c>
      <c r="M77" s="6" t="str">
        <f>IF(B77&lt;&gt;"",IF(AND(Input!$H$37="Annual",MOD(B77,12)=0),Input!$J$37,IF(AND(Input!$H$37="1st Installment",B77=1),Input!$J$37,IF(Input!$H$37="Monthly",Input!$J$37,IF(AND(Input!$H$37="End of the loan",B77=Input!$E$39),Input!$J$37,"")))),"")</f>
        <v/>
      </c>
      <c r="N77" s="6" t="str">
        <f t="shared" si="20"/>
        <v/>
      </c>
      <c r="O77" s="4" t="str">
        <f t="shared" si="21"/>
        <v/>
      </c>
      <c r="S77" s="9" t="str">
        <f t="shared" si="22"/>
        <v/>
      </c>
      <c r="T77" s="5" t="str">
        <f t="shared" si="5"/>
        <v xml:space="preserve"> </v>
      </c>
      <c r="U77" s="139"/>
      <c r="V77" s="106"/>
    </row>
    <row r="78" spans="1:22" x14ac:dyDescent="0.2">
      <c r="A78" s="1" t="str">
        <f t="shared" si="16"/>
        <v/>
      </c>
      <c r="B78" s="168"/>
      <c r="C78" s="176"/>
      <c r="D78" s="170"/>
      <c r="E78" s="170"/>
      <c r="F78" s="170"/>
      <c r="G78" s="170"/>
      <c r="H78" s="170"/>
      <c r="I78" s="170"/>
      <c r="J78" s="170"/>
      <c r="K78" s="170"/>
      <c r="L78" s="170"/>
      <c r="M78" s="170"/>
      <c r="N78" s="170"/>
      <c r="O78" s="171"/>
      <c r="P78" s="11"/>
      <c r="Q78" s="11"/>
      <c r="R78" s="11"/>
      <c r="S78" s="169"/>
      <c r="T78" s="172"/>
      <c r="U78" s="178"/>
      <c r="V78" s="106"/>
    </row>
    <row r="79" spans="1:22" x14ac:dyDescent="0.2">
      <c r="A79" s="1" t="str">
        <f t="shared" si="16"/>
        <v/>
      </c>
      <c r="B79" s="32"/>
      <c r="C79" s="177"/>
      <c r="D79" s="174"/>
      <c r="E79" s="174"/>
      <c r="F79" s="174"/>
      <c r="G79" s="174"/>
      <c r="H79" s="174"/>
      <c r="I79" s="174"/>
      <c r="J79" s="174"/>
      <c r="K79" s="174"/>
      <c r="L79" s="174"/>
      <c r="M79" s="174"/>
      <c r="N79" s="174"/>
      <c r="O79" s="72"/>
      <c r="P79" s="11"/>
      <c r="Q79" s="11"/>
      <c r="R79" s="11"/>
      <c r="S79" s="65"/>
      <c r="T79" s="175"/>
      <c r="U79" s="11"/>
      <c r="V79" s="106"/>
    </row>
    <row r="80" spans="1:22" x14ac:dyDescent="0.2">
      <c r="A80" s="1" t="str">
        <f t="shared" si="16"/>
        <v/>
      </c>
      <c r="B80" s="32"/>
      <c r="C80" s="177"/>
      <c r="D80" s="174"/>
      <c r="E80" s="174"/>
      <c r="F80" s="174"/>
      <c r="G80" s="174"/>
      <c r="H80" s="174"/>
      <c r="I80" s="174"/>
      <c r="J80" s="174"/>
      <c r="K80" s="174"/>
      <c r="L80" s="174"/>
      <c r="M80" s="174"/>
      <c r="N80" s="174"/>
      <c r="O80" s="72"/>
      <c r="P80" s="11"/>
      <c r="Q80" s="11"/>
      <c r="R80" s="11"/>
      <c r="S80" s="65"/>
      <c r="T80" s="175"/>
      <c r="U80" s="11"/>
      <c r="V80" s="106"/>
    </row>
    <row r="81" spans="1:22" x14ac:dyDescent="0.2">
      <c r="A81" s="1" t="str">
        <f t="shared" si="16"/>
        <v/>
      </c>
      <c r="B81" s="32"/>
      <c r="C81" s="177"/>
      <c r="D81" s="174"/>
      <c r="E81" s="174"/>
      <c r="F81" s="174"/>
      <c r="G81" s="174"/>
      <c r="H81" s="174"/>
      <c r="I81" s="174"/>
      <c r="J81" s="174"/>
      <c r="K81" s="174"/>
      <c r="L81" s="174"/>
      <c r="M81" s="174"/>
      <c r="N81" s="174"/>
      <c r="O81" s="72"/>
      <c r="P81" s="11"/>
      <c r="Q81" s="11"/>
      <c r="R81" s="11"/>
      <c r="S81" s="65"/>
      <c r="T81" s="175"/>
      <c r="U81" s="11"/>
      <c r="V81" s="106"/>
    </row>
    <row r="82" spans="1:22" x14ac:dyDescent="0.2">
      <c r="A82" s="1" t="str">
        <f t="shared" si="16"/>
        <v/>
      </c>
      <c r="B82" s="32"/>
      <c r="C82" s="177"/>
      <c r="D82" s="174"/>
      <c r="E82" s="174"/>
      <c r="F82" s="174"/>
      <c r="G82" s="174"/>
      <c r="H82" s="174"/>
      <c r="I82" s="174"/>
      <c r="J82" s="174"/>
      <c r="K82" s="174"/>
      <c r="L82" s="174"/>
      <c r="M82" s="174"/>
      <c r="N82" s="174"/>
      <c r="O82" s="72"/>
      <c r="P82" s="11"/>
      <c r="Q82" s="11"/>
      <c r="R82" s="11"/>
      <c r="S82" s="65"/>
      <c r="T82" s="175"/>
      <c r="U82" s="11"/>
      <c r="V82" s="106"/>
    </row>
    <row r="83" spans="1:22" x14ac:dyDescent="0.2">
      <c r="B83" s="11"/>
      <c r="C83" s="11"/>
      <c r="D83" s="72"/>
      <c r="E83" s="11"/>
      <c r="F83" s="11"/>
      <c r="G83" s="11"/>
      <c r="H83" s="72"/>
      <c r="I83" s="11"/>
      <c r="J83" s="11"/>
      <c r="K83" s="11"/>
      <c r="L83" s="72"/>
      <c r="M83" s="11"/>
      <c r="N83" s="11"/>
      <c r="O83" s="11"/>
      <c r="P83" s="11"/>
      <c r="Q83" s="11"/>
      <c r="R83" s="11"/>
      <c r="S83" s="11"/>
      <c r="T83" s="11"/>
      <c r="U83" s="11"/>
    </row>
  </sheetData>
  <mergeCells count="4">
    <mergeCell ref="B2:O2"/>
    <mergeCell ref="B4:F4"/>
    <mergeCell ref="S15:T15"/>
    <mergeCell ref="H15:I15"/>
  </mergeCells>
  <pageMargins left="0.7" right="0.7" top="0.75" bottom="0.75" header="0.3" footer="0.3"/>
  <pageSetup orientation="portrait" r:id="rId1"/>
  <headerFooter>
    <oddHeader>&amp;C
&amp;G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24571D"/>
  </sheetPr>
  <dimension ref="B1:Y386"/>
  <sheetViews>
    <sheetView showGridLines="0" tabSelected="1" zoomScaleNormal="100" workbookViewId="0">
      <selection activeCell="B4" sqref="B4:F4"/>
    </sheetView>
  </sheetViews>
  <sheetFormatPr defaultColWidth="8.88671875" defaultRowHeight="11.4" x14ac:dyDescent="0.2"/>
  <cols>
    <col min="1" max="1" width="8.88671875" style="1"/>
    <col min="2" max="7" width="24.33203125" style="1" customWidth="1"/>
    <col min="8" max="8" width="29.109375" style="1" bestFit="1" customWidth="1"/>
    <col min="9" max="9" width="24.33203125" style="1" customWidth="1"/>
    <col min="10" max="10" width="26.6640625" style="1" bestFit="1" customWidth="1"/>
    <col min="11" max="15" width="24.33203125" style="1" customWidth="1"/>
    <col min="16" max="16" width="17.33203125" style="1" bestFit="1" customWidth="1"/>
    <col min="17" max="17" width="11" style="1" bestFit="1" customWidth="1"/>
    <col min="18" max="18" width="12" style="1" bestFit="1" customWidth="1"/>
    <col min="19" max="19" width="8.88671875" style="1"/>
    <col min="20" max="20" width="10.44140625" style="1" bestFit="1" customWidth="1"/>
    <col min="21" max="21" width="11.6640625" style="1" bestFit="1" customWidth="1"/>
    <col min="22" max="22" width="12.6640625" style="68" bestFit="1" customWidth="1"/>
    <col min="23" max="24" width="8.88671875" style="1" customWidth="1"/>
    <col min="25" max="25" width="12.5546875" style="1" bestFit="1" customWidth="1"/>
    <col min="26" max="16384" width="8.88671875" style="1"/>
  </cols>
  <sheetData>
    <row r="1" spans="2:25" x14ac:dyDescent="0.2">
      <c r="W1" s="179">
        <f>ROW(T17)</f>
        <v>17</v>
      </c>
      <c r="X1" s="179">
        <f>ROW(U17)</f>
        <v>17</v>
      </c>
    </row>
    <row r="2" spans="2:25" ht="16.95" customHeight="1" x14ac:dyDescent="0.2">
      <c r="B2" s="198" t="s">
        <v>14</v>
      </c>
      <c r="C2" s="198"/>
      <c r="D2" s="198"/>
      <c r="E2" s="198"/>
      <c r="F2" s="198"/>
      <c r="G2" s="198"/>
      <c r="H2" s="198"/>
      <c r="I2" s="198"/>
      <c r="J2" s="198"/>
      <c r="K2" s="198"/>
      <c r="L2" s="198"/>
      <c r="M2" s="198"/>
      <c r="N2" s="198"/>
      <c r="O2" s="198"/>
      <c r="P2" s="198"/>
      <c r="W2" s="179">
        <f>COLUMN(T17)</f>
        <v>20</v>
      </c>
      <c r="X2" s="179">
        <f>COLUMN(U17)</f>
        <v>21</v>
      </c>
    </row>
    <row r="3" spans="2:25" x14ac:dyDescent="0.2">
      <c r="W3" s="179"/>
      <c r="X3" s="180">
        <f>COUNTIF(T17:T385,"&gt;0")-1</f>
        <v>240</v>
      </c>
    </row>
    <row r="4" spans="2:25" x14ac:dyDescent="0.2">
      <c r="B4" s="196" t="s">
        <v>19</v>
      </c>
      <c r="C4" s="196"/>
      <c r="D4" s="196"/>
      <c r="E4" s="196"/>
      <c r="F4" s="196"/>
    </row>
    <row r="6" spans="2:25" x14ac:dyDescent="0.2">
      <c r="B6" s="3" t="s">
        <v>17</v>
      </c>
      <c r="C6" s="3">
        <f>Input!E58</f>
        <v>240</v>
      </c>
      <c r="E6" s="17" t="s">
        <v>7</v>
      </c>
      <c r="F6" s="14">
        <f ca="1">XIRR(U17:INDIRECT(ADDRESS($X$1+$X$3,$X$2)),T17:INDIRECT(ADDRESS($W$1+$X$3,$W$2)))</f>
        <v>5.899536311626434E-2</v>
      </c>
    </row>
    <row r="8" spans="2:25" x14ac:dyDescent="0.2">
      <c r="B8" s="3" t="s">
        <v>2</v>
      </c>
      <c r="C8" s="5">
        <f>Input!E54</f>
        <v>1600000</v>
      </c>
    </row>
    <row r="9" spans="2:25" x14ac:dyDescent="0.2">
      <c r="B9" s="3" t="s">
        <v>110</v>
      </c>
      <c r="C9" s="5">
        <f>-SUM(E18:E385)</f>
        <v>1176208.4005208244</v>
      </c>
    </row>
    <row r="10" spans="2:25" x14ac:dyDescent="0.2">
      <c r="B10" s="3" t="s">
        <v>8</v>
      </c>
      <c r="C10" s="5">
        <f>SUM($O$17:$O$385)</f>
        <v>55000.000000000182</v>
      </c>
      <c r="E10" s="138"/>
      <c r="T10" s="8"/>
      <c r="U10" s="8"/>
      <c r="Y10" s="111"/>
    </row>
    <row r="11" spans="2:25" x14ac:dyDescent="0.2">
      <c r="B11" s="3" t="s">
        <v>41</v>
      </c>
      <c r="C11" s="9">
        <f>EDATE(Input!E61,C6)</f>
        <v>52626</v>
      </c>
      <c r="U11" s="8"/>
      <c r="Y11" s="111"/>
    </row>
    <row r="12" spans="2:25" x14ac:dyDescent="0.2">
      <c r="H12" s="71"/>
      <c r="U12" s="122"/>
    </row>
    <row r="13" spans="2:25" ht="15" x14ac:dyDescent="0.35">
      <c r="B13" s="3" t="s">
        <v>12</v>
      </c>
      <c r="C13" s="98">
        <f>Input!E65</f>
        <v>300000</v>
      </c>
      <c r="H13" s="70"/>
      <c r="I13" s="2"/>
      <c r="Q13" s="15"/>
    </row>
    <row r="14" spans="2:25" x14ac:dyDescent="0.2">
      <c r="F14" s="12"/>
      <c r="Q14" s="7"/>
      <c r="R14" s="8"/>
      <c r="S14" s="8"/>
    </row>
    <row r="15" spans="2:25" x14ac:dyDescent="0.2">
      <c r="H15" s="199"/>
      <c r="I15" s="199"/>
      <c r="O15" s="12"/>
      <c r="T15" s="197" t="s">
        <v>38</v>
      </c>
      <c r="U15" s="197"/>
    </row>
    <row r="16" spans="2:25" x14ac:dyDescent="0.2">
      <c r="B16" s="13" t="s">
        <v>3</v>
      </c>
      <c r="C16" s="13" t="s">
        <v>4</v>
      </c>
      <c r="D16" s="13" t="s">
        <v>5</v>
      </c>
      <c r="E16" s="13" t="s">
        <v>110</v>
      </c>
      <c r="F16" s="13" t="s">
        <v>10</v>
      </c>
      <c r="G16" s="13" t="s">
        <v>111</v>
      </c>
      <c r="H16" s="13" t="s">
        <v>6</v>
      </c>
      <c r="I16" s="13" t="s">
        <v>11</v>
      </c>
      <c r="J16" s="13" t="s">
        <v>32</v>
      </c>
      <c r="K16" s="13" t="s">
        <v>33</v>
      </c>
      <c r="L16" s="13" t="s">
        <v>34</v>
      </c>
      <c r="M16" s="13" t="s">
        <v>35</v>
      </c>
      <c r="N16" s="13" t="s">
        <v>56</v>
      </c>
      <c r="O16" s="13" t="s">
        <v>15</v>
      </c>
      <c r="P16" s="13" t="s">
        <v>16</v>
      </c>
      <c r="T16" s="13" t="s">
        <v>39</v>
      </c>
      <c r="U16" s="13" t="s">
        <v>40</v>
      </c>
    </row>
    <row r="17" spans="2:23" x14ac:dyDescent="0.2">
      <c r="B17" s="181">
        <v>0</v>
      </c>
      <c r="C17" s="162">
        <f>Input!E59</f>
        <v>45292</v>
      </c>
      <c r="D17" s="6">
        <v>0</v>
      </c>
      <c r="E17" s="6">
        <v>0</v>
      </c>
      <c r="F17" s="6">
        <v>0</v>
      </c>
      <c r="G17" s="6">
        <v>0</v>
      </c>
      <c r="H17" s="6">
        <v>0</v>
      </c>
      <c r="I17" s="6">
        <v>0</v>
      </c>
      <c r="J17" s="6">
        <f>IF(AND(Input!$H$54="Upfront Payment",B17=0),Input!$J$54,"")</f>
        <v>2000</v>
      </c>
      <c r="K17" s="6" t="str">
        <f>IF(AND(Input!$H$55="Upfront Payment",B17=0),Input!$J$55,"")</f>
        <v/>
      </c>
      <c r="L17" s="6" t="str">
        <f>IF(AND(Input!$H$56="Upfront Payment",B17=0),Input!$J$56,"")</f>
        <v/>
      </c>
      <c r="M17" s="6">
        <f>IF(AND(Input!$H$57="Upfront Payment",B17=0),Input!$J$57,"")</f>
        <v>3000</v>
      </c>
      <c r="N17" s="6" t="str">
        <f>IF(AND(Input!$H$58="Upfront Payment",B17=0),Input!$J$58,"")</f>
        <v/>
      </c>
      <c r="O17" s="6">
        <f t="shared" ref="O17:O80" si="0">IF(B17&lt;&gt;"",SUM(J17:N17),"")</f>
        <v>5000</v>
      </c>
      <c r="P17" s="4">
        <f t="shared" ref="P17:P80" si="1">IF(B17&lt;&gt;"",(-H17+O17),"")</f>
        <v>5000</v>
      </c>
      <c r="T17" s="9">
        <f>C17</f>
        <v>45292</v>
      </c>
      <c r="U17" s="5">
        <f>-(C8-P17)</f>
        <v>-1595000</v>
      </c>
      <c r="W17" s="8"/>
    </row>
    <row r="18" spans="2:23" x14ac:dyDescent="0.2">
      <c r="B18" s="181">
        <v>1</v>
      </c>
      <c r="C18" s="162">
        <f>Input!E61</f>
        <v>45321</v>
      </c>
      <c r="D18" s="6">
        <f>IFERROR((PPMT(Input!$E$55/12,B18,$C$6,Input!$E$54,-Input!$E$65,0))," ")</f>
        <v>-2984.2016688367685</v>
      </c>
      <c r="E18" s="6">
        <f>IFERROR((IPMT(Input!$E$55/12,B18,$C$6,Input!$E$54,-Input!$E$65,0))," ")</f>
        <v>-7333.333333333333</v>
      </c>
      <c r="F18" s="6">
        <f>D18</f>
        <v>-2984.2016688367685</v>
      </c>
      <c r="G18" s="6">
        <f>E18</f>
        <v>-7333.333333333333</v>
      </c>
      <c r="H18" s="6">
        <f>+IF(B18=$C$6,(-$C$13+IFERROR(D18+E18,"")),IFERROR(D18+E18,""))</f>
        <v>-10317.535002170102</v>
      </c>
      <c r="I18" s="6">
        <f>+IFERROR($C$8+F18,"")</f>
        <v>1597015.7983311631</v>
      </c>
      <c r="J18" s="6" t="str">
        <f>IF(B18&lt;&gt;"",IF(AND(Input!$H$54="Annual",MOD(B18,12)=0),Input!$J$54,IF(AND(Input!$H$54="1st Installment",B18=1),Input!$J$54,IF(Input!$H$54="Monthly",Input!$J$54,""))),"")</f>
        <v/>
      </c>
      <c r="K18" s="6" t="str">
        <f>IF(B18&lt;&gt;"",IF(AND(Input!$H$55="Annual",MOD(B18,12)=0),Input!$J$55,IF(AND(Input!$H$55="1st Installment",B18=1),Input!$J$55,IF(Input!$H$55="Monthly",Input!$J$55,""))),"")</f>
        <v/>
      </c>
      <c r="L18" s="6">
        <f>IF(B18&lt;&gt;"",IF(AND(Input!$H$56="Annual",MOD(B18,12)=0),Input!$J$56,IF(AND(Input!$H$56="1st Installment",B18=1),Input!$J$56,IF(Input!$H$56="Monthly",Input!$J$56,""))),"")</f>
        <v>208.33333333333334</v>
      </c>
      <c r="M18" s="6" t="str">
        <f>IF(B18&lt;&gt;"",IF(AND(Input!$H$57="Annual",MOD(B18,12)=0),Input!$J$57,IF(AND(Input!$H$57="1st Installment",B18=1),Input!$J$57,IF(Input!$H$57="Monthly",Input!$J$57,""))),"")</f>
        <v/>
      </c>
      <c r="N18" s="6" t="str">
        <f>IF(B18&lt;&gt;"",IF(AND(Input!$H$58="Annual",MOD(B18,12)=0),Input!$J$58,IF(AND(Input!$H$58="1st Installment",B18=1),Input!$J$58,IF(Input!$H$58="Monthly",Input!$J$58,IF(AND(Input!$H$58="End of the loan",B18=Input!$E$58),Input!$J$58,"")))),"")</f>
        <v/>
      </c>
      <c r="O18" s="6">
        <f t="shared" si="0"/>
        <v>208.33333333333334</v>
      </c>
      <c r="P18" s="4">
        <f t="shared" si="1"/>
        <v>10525.868335503435</v>
      </c>
      <c r="T18" s="9">
        <f t="shared" ref="T18:T81" si="2">C18</f>
        <v>45321</v>
      </c>
      <c r="U18" s="5">
        <f t="shared" ref="U18:U81" si="3">IFERROR(ROUND(_xlfn.IFNA(VLOOKUP(T18,$C$18:$P$385,14,0),0),2)," ")</f>
        <v>10525.87</v>
      </c>
    </row>
    <row r="19" spans="2:23" x14ac:dyDescent="0.2">
      <c r="B19" s="181">
        <f>IF(B18="","",IF((B18+1)&lt;=$C$6,B18+1,""))</f>
        <v>2</v>
      </c>
      <c r="C19" s="162">
        <f>IF(B19="","",EDATE($C$18,(B19-1)))</f>
        <v>45351</v>
      </c>
      <c r="D19" s="6">
        <f>IFERROR((PPMT(Input!$E$55/12,B19,$C$6,Input!$E$54,-Input!$E$65,0))," ")</f>
        <v>-2997.8792598189375</v>
      </c>
      <c r="E19" s="6">
        <f>IFERROR(((IPMT(Input!$E$55/12,B19,$C$6,Input!$E$54,-Input!$E$65,0)))," ")</f>
        <v>-7319.6557423511631</v>
      </c>
      <c r="F19" s="6">
        <f>IF(B19&lt;=$C$6,F18+D19,"")</f>
        <v>-5982.080928655706</v>
      </c>
      <c r="G19" s="6">
        <f>IF(B19&lt;=$C$6,G18+E19,"")</f>
        <v>-14652.989075684496</v>
      </c>
      <c r="H19" s="6">
        <f t="shared" ref="H19:H82" si="4">+IF(B19=$C$6,(-$C$13+IFERROR(D19+E19,"")),IFERROR(D19+E19,""))</f>
        <v>-10317.535002170102</v>
      </c>
      <c r="I19" s="6">
        <f t="shared" ref="I19:I82" si="5">+IFERROR($C$8+F19,"")</f>
        <v>1594017.9190713442</v>
      </c>
      <c r="J19" s="6" t="str">
        <f>IF(B19&lt;&gt;"",IF(AND(Input!$H$54="Annual",MOD(B19,12)=0),Input!$J$54,IF(AND(Input!$H$54="1st Installment",B19=1),Input!$J$54,IF(Input!$H$54="Monthly",Input!$J$54,""))),"")</f>
        <v/>
      </c>
      <c r="K19" s="6" t="str">
        <f>IF(B19&lt;&gt;"",IF(AND(Input!$H$55="Annual",MOD(B19,12)=0),Input!$J$55,IF(AND(Input!$H$55="1st Installment",B19=1),Input!$J$55,IF(Input!$H$55="Monthly",Input!$J$55,""))),"")</f>
        <v/>
      </c>
      <c r="L19" s="6">
        <f>IF(B19&lt;&gt;"",IF(AND(Input!$H$56="Annual",MOD(B19,12)=0),Input!$J$56,IF(AND(Input!$H$56="1st Installment",B19=1),Input!$J$56,IF(Input!$H$56="Monthly",Input!$J$56,""))),"")</f>
        <v>208.33333333333334</v>
      </c>
      <c r="M19" s="6" t="str">
        <f>IF(B19&lt;&gt;"",IF(AND(Input!$H$57="Annual",MOD(B19,12)=0),Input!$J$57,IF(AND(Input!$H$57="1st Installment",B19=1),Input!$J$57,IF(Input!$H$57="Monthly",Input!$J$57,""))),"")</f>
        <v/>
      </c>
      <c r="N19" s="6" t="str">
        <f>IF(B19&lt;&gt;"",IF(AND(Input!$H$58="Annual",MOD(B19,12)=0),Input!$J$58,IF(AND(Input!$H$58="1st Installment",B19=1),Input!$J$58,IF(Input!$H$58="Monthly",Input!$J$58,IF(AND(Input!$H$58="End of the loan",B19=Input!$E$58),Input!$J$58,"")))),"")</f>
        <v/>
      </c>
      <c r="O19" s="6">
        <f t="shared" si="0"/>
        <v>208.33333333333334</v>
      </c>
      <c r="P19" s="4">
        <f t="shared" si="1"/>
        <v>10525.868335503435</v>
      </c>
      <c r="T19" s="9">
        <f t="shared" si="2"/>
        <v>45351</v>
      </c>
      <c r="U19" s="5">
        <f t="shared" si="3"/>
        <v>10525.87</v>
      </c>
    </row>
    <row r="20" spans="2:23" x14ac:dyDescent="0.2">
      <c r="B20" s="181">
        <f t="shared" ref="B20:B83" si="6">IF(B19="","",IF((B19+1)&lt;=$C$6,B19+1,""))</f>
        <v>3</v>
      </c>
      <c r="C20" s="162">
        <f t="shared" ref="C20:C83" si="7">IF(B20="","",EDATE($C$18,(B20-1)))</f>
        <v>45381</v>
      </c>
      <c r="D20" s="6">
        <f>IFERROR((PPMT(Input!$E$55/12,B20,$C$6,Input!$E$54,-Input!$E$65,0))," ")</f>
        <v>-3011.6195397597744</v>
      </c>
      <c r="E20" s="6">
        <f>IFERROR(((IPMT(Input!$E$55/12,B20,$C$6,Input!$E$54,-Input!$E$65,0)))," ")</f>
        <v>-7305.9154624103276</v>
      </c>
      <c r="F20" s="6">
        <f>IF(B20&lt;=$C$6,F19+D20,"")</f>
        <v>-8993.7004684154799</v>
      </c>
      <c r="G20" s="6">
        <f t="shared" ref="G20:G83" si="8">IF(B20&lt;=$C$6,G19+E20,"")</f>
        <v>-21958.904538094823</v>
      </c>
      <c r="H20" s="6">
        <f t="shared" si="4"/>
        <v>-10317.535002170102</v>
      </c>
      <c r="I20" s="6">
        <f t="shared" si="5"/>
        <v>1591006.2995315846</v>
      </c>
      <c r="J20" s="6" t="str">
        <f>IF(B20&lt;&gt;"",IF(AND(Input!$H$54="Annual",MOD(B20,12)=0),Input!$J$54,IF(AND(Input!$H$54="1st Installment",B20=1),Input!$J$54,IF(Input!$H$54="Monthly",Input!$J$54,""))),"")</f>
        <v/>
      </c>
      <c r="K20" s="6" t="str">
        <f>IF(B20&lt;&gt;"",IF(AND(Input!$H$55="Annual",MOD(B20,12)=0),Input!$J$55,IF(AND(Input!$H$55="1st Installment",B20=1),Input!$J$55,IF(Input!$H$55="Monthly",Input!$J$55,""))),"")</f>
        <v/>
      </c>
      <c r="L20" s="6">
        <f>IF(B20&lt;&gt;"",IF(AND(Input!$H$56="Annual",MOD(B20,12)=0),Input!$J$56,IF(AND(Input!$H$56="1st Installment",B20=1),Input!$J$56,IF(Input!$H$56="Monthly",Input!$J$56,""))),"")</f>
        <v>208.33333333333334</v>
      </c>
      <c r="M20" s="6" t="str">
        <f>IF(B20&lt;&gt;"",IF(AND(Input!$H$57="Annual",MOD(B20,12)=0),Input!$J$57,IF(AND(Input!$H$57="1st Installment",B20=1),Input!$J$57,IF(Input!$H$57="Monthly",Input!$J$57,""))),"")</f>
        <v/>
      </c>
      <c r="N20" s="6" t="str">
        <f>IF(B20&lt;&gt;"",IF(AND(Input!$H$58="Annual",MOD(B20,12)=0),Input!$J$58,IF(AND(Input!$H$58="1st Installment",B20=1),Input!$J$58,IF(Input!$H$58="Monthly",Input!$J$58,IF(AND(Input!$H$58="End of the loan",B20=Input!$E$58),Input!$J$58,"")))),"")</f>
        <v/>
      </c>
      <c r="O20" s="6">
        <f t="shared" si="0"/>
        <v>208.33333333333334</v>
      </c>
      <c r="P20" s="4">
        <f t="shared" si="1"/>
        <v>10525.868335503435</v>
      </c>
      <c r="T20" s="9">
        <f t="shared" si="2"/>
        <v>45381</v>
      </c>
      <c r="U20" s="5">
        <f t="shared" si="3"/>
        <v>10525.87</v>
      </c>
    </row>
    <row r="21" spans="2:23" x14ac:dyDescent="0.2">
      <c r="B21" s="181">
        <f t="shared" si="6"/>
        <v>4</v>
      </c>
      <c r="C21" s="162">
        <f t="shared" si="7"/>
        <v>45412</v>
      </c>
      <c r="D21" s="6">
        <f>IFERROR((PPMT(Input!$E$55/12,B21,$C$6,Input!$E$54,-Input!$E$65,0))," ")</f>
        <v>-3025.4227959836735</v>
      </c>
      <c r="E21" s="6">
        <f>IFERROR(((IPMT(Input!$E$55/12,B21,$C$6,Input!$E$54,-Input!$E$65,0)))," ")</f>
        <v>-7292.1122061864271</v>
      </c>
      <c r="F21" s="6">
        <f t="shared" ref="F21:F84" si="9">IF(B21&lt;=$C$6,F20+D21,"")</f>
        <v>-12019.123264399153</v>
      </c>
      <c r="G21" s="6">
        <f t="shared" si="8"/>
        <v>-29251.016744281249</v>
      </c>
      <c r="H21" s="6">
        <f t="shared" si="4"/>
        <v>-10317.535002170102</v>
      </c>
      <c r="I21" s="6">
        <f t="shared" si="5"/>
        <v>1587980.8767356009</v>
      </c>
      <c r="J21" s="6" t="str">
        <f>IF(B21&lt;&gt;"",IF(AND(Input!$H$54="Annual",MOD(B21,12)=0),Input!$J$54,IF(AND(Input!$H$54="1st Installment",B21=1),Input!$J$54,IF(Input!$H$54="Monthly",Input!$J$54,""))),"")</f>
        <v/>
      </c>
      <c r="K21" s="6" t="str">
        <f>IF(B21&lt;&gt;"",IF(AND(Input!$H$55="Annual",MOD(B21,12)=0),Input!$J$55,IF(AND(Input!$H$55="1st Installment",B21=1),Input!$J$55,IF(Input!$H$55="Monthly",Input!$J$55,""))),"")</f>
        <v/>
      </c>
      <c r="L21" s="6">
        <f>IF(B21&lt;&gt;"",IF(AND(Input!$H$56="Annual",MOD(B21,12)=0),Input!$J$56,IF(AND(Input!$H$56="1st Installment",B21=1),Input!$J$56,IF(Input!$H$56="Monthly",Input!$J$56,""))),"")</f>
        <v>208.33333333333334</v>
      </c>
      <c r="M21" s="6" t="str">
        <f>IF(B21&lt;&gt;"",IF(AND(Input!$H$57="Annual",MOD(B21,12)=0),Input!$J$57,IF(AND(Input!$H$57="1st Installment",B21=1),Input!$J$57,IF(Input!$H$57="Monthly",Input!$J$57,""))),"")</f>
        <v/>
      </c>
      <c r="N21" s="6" t="str">
        <f>IF(B21&lt;&gt;"",IF(AND(Input!$H$58="Annual",MOD(B21,12)=0),Input!$J$58,IF(AND(Input!$H$58="1st Installment",B21=1),Input!$J$58,IF(Input!$H$58="Monthly",Input!$J$58,IF(AND(Input!$H$58="End of the loan",B21=Input!$E$58),Input!$J$58,"")))),"")</f>
        <v/>
      </c>
      <c r="O21" s="6">
        <f t="shared" si="0"/>
        <v>208.33333333333334</v>
      </c>
      <c r="P21" s="4">
        <f t="shared" si="1"/>
        <v>10525.868335503435</v>
      </c>
      <c r="T21" s="9">
        <f t="shared" si="2"/>
        <v>45412</v>
      </c>
      <c r="U21" s="5">
        <f t="shared" si="3"/>
        <v>10525.87</v>
      </c>
    </row>
    <row r="22" spans="2:23" x14ac:dyDescent="0.2">
      <c r="B22" s="181">
        <f t="shared" si="6"/>
        <v>5</v>
      </c>
      <c r="C22" s="162">
        <f t="shared" si="7"/>
        <v>45442</v>
      </c>
      <c r="D22" s="6">
        <f>IFERROR((PPMT(Input!$E$55/12,B22,$C$6,Input!$E$54,-Input!$E$65,0))," ")</f>
        <v>-3039.289317131932</v>
      </c>
      <c r="E22" s="6">
        <f>IFERROR(((IPMT(Input!$E$55/12,B22,$C$6,Input!$E$54,-Input!$E$65,0)))," ")</f>
        <v>-7278.2456850381695</v>
      </c>
      <c r="F22" s="6">
        <f t="shared" si="9"/>
        <v>-15058.412581531085</v>
      </c>
      <c r="G22" s="6">
        <f t="shared" si="8"/>
        <v>-36529.262429319417</v>
      </c>
      <c r="H22" s="6">
        <f t="shared" si="4"/>
        <v>-10317.535002170102</v>
      </c>
      <c r="I22" s="6">
        <f t="shared" si="5"/>
        <v>1584941.5874184689</v>
      </c>
      <c r="J22" s="6" t="str">
        <f>IF(B22&lt;&gt;"",IF(AND(Input!$H$54="Annual",MOD(B22,12)=0),Input!$J$54,IF(AND(Input!$H$54="1st Installment",B22=1),Input!$J$54,IF(Input!$H$54="Monthly",Input!$J$54,""))),"")</f>
        <v/>
      </c>
      <c r="K22" s="6" t="str">
        <f>IF(B22&lt;&gt;"",IF(AND(Input!$H$55="Annual",MOD(B22,12)=0),Input!$J$55,IF(AND(Input!$H$55="1st Installment",B22=1),Input!$J$55,IF(Input!$H$55="Monthly",Input!$J$55,""))),"")</f>
        <v/>
      </c>
      <c r="L22" s="6">
        <f>IF(B22&lt;&gt;"",IF(AND(Input!$H$56="Annual",MOD(B22,12)=0),Input!$J$56,IF(AND(Input!$H$56="1st Installment",B22=1),Input!$J$56,IF(Input!$H$56="Monthly",Input!$J$56,""))),"")</f>
        <v>208.33333333333334</v>
      </c>
      <c r="M22" s="6" t="str">
        <f>IF(B22&lt;&gt;"",IF(AND(Input!$H$57="Annual",MOD(B22,12)=0),Input!$J$57,IF(AND(Input!$H$57="1st Installment",B22=1),Input!$J$57,IF(Input!$H$57="Monthly",Input!$J$57,""))),"")</f>
        <v/>
      </c>
      <c r="N22" s="6" t="str">
        <f>IF(B22&lt;&gt;"",IF(AND(Input!$H$58="Annual",MOD(B22,12)=0),Input!$J$58,IF(AND(Input!$H$58="1st Installment",B22=1),Input!$J$58,IF(Input!$H$58="Monthly",Input!$J$58,IF(AND(Input!$H$58="End of the loan",B22=Input!$E$58),Input!$J$58,"")))),"")</f>
        <v/>
      </c>
      <c r="O22" s="6">
        <f t="shared" si="0"/>
        <v>208.33333333333334</v>
      </c>
      <c r="P22" s="4">
        <f t="shared" si="1"/>
        <v>10525.868335503435</v>
      </c>
      <c r="T22" s="9">
        <f t="shared" si="2"/>
        <v>45442</v>
      </c>
      <c r="U22" s="5">
        <f t="shared" si="3"/>
        <v>10525.87</v>
      </c>
    </row>
    <row r="23" spans="2:23" x14ac:dyDescent="0.2">
      <c r="B23" s="181">
        <f t="shared" si="6"/>
        <v>6</v>
      </c>
      <c r="C23" s="162">
        <f t="shared" si="7"/>
        <v>45473</v>
      </c>
      <c r="D23" s="6">
        <f>IFERROR((PPMT(Input!$E$55/12,B23,$C$6,Input!$E$54,-Input!$E$65,0))," ")</f>
        <v>-3053.2193931687866</v>
      </c>
      <c r="E23" s="6">
        <f>IFERROR(((IPMT(Input!$E$55/12,B23,$C$6,Input!$E$54,-Input!$E$65,0)))," ")</f>
        <v>-7264.3156090013163</v>
      </c>
      <c r="F23" s="6">
        <f t="shared" si="9"/>
        <v>-18111.631974699871</v>
      </c>
      <c r="G23" s="6">
        <f t="shared" si="8"/>
        <v>-43793.578038320731</v>
      </c>
      <c r="H23" s="6">
        <f t="shared" si="4"/>
        <v>-10317.535002170103</v>
      </c>
      <c r="I23" s="6">
        <f t="shared" si="5"/>
        <v>1581888.3680253001</v>
      </c>
      <c r="J23" s="6" t="str">
        <f>IF(B23&lt;&gt;"",IF(AND(Input!$H$54="Annual",MOD(B23,12)=0),Input!$J$54,IF(AND(Input!$H$54="1st Installment",B23=1),Input!$J$54,IF(Input!$H$54="Monthly",Input!$J$54,""))),"")</f>
        <v/>
      </c>
      <c r="K23" s="6" t="str">
        <f>IF(B23&lt;&gt;"",IF(AND(Input!$H$55="Annual",MOD(B23,12)=0),Input!$J$55,IF(AND(Input!$H$55="1st Installment",B23=1),Input!$J$55,IF(Input!$H$55="Monthly",Input!$J$55,""))),"")</f>
        <v/>
      </c>
      <c r="L23" s="6">
        <f>IF(B23&lt;&gt;"",IF(AND(Input!$H$56="Annual",MOD(B23,12)=0),Input!$J$56,IF(AND(Input!$H$56="1st Installment",B23=1),Input!$J$56,IF(Input!$H$56="Monthly",Input!$J$56,""))),"")</f>
        <v>208.33333333333334</v>
      </c>
      <c r="M23" s="6" t="str">
        <f>IF(B23&lt;&gt;"",IF(AND(Input!$H$57="Annual",MOD(B23,12)=0),Input!$J$57,IF(AND(Input!$H$57="1st Installment",B23=1),Input!$J$57,IF(Input!$H$57="Monthly",Input!$J$57,""))),"")</f>
        <v/>
      </c>
      <c r="N23" s="6" t="str">
        <f>IF(B23&lt;&gt;"",IF(AND(Input!$H$58="Annual",MOD(B23,12)=0),Input!$J$58,IF(AND(Input!$H$58="1st Installment",B23=1),Input!$J$58,IF(Input!$H$58="Monthly",Input!$J$58,IF(AND(Input!$H$58="End of the loan",B23=Input!$E$58),Input!$J$58,"")))),"")</f>
        <v/>
      </c>
      <c r="O23" s="6">
        <f t="shared" si="0"/>
        <v>208.33333333333334</v>
      </c>
      <c r="P23" s="4">
        <f t="shared" si="1"/>
        <v>10525.868335503437</v>
      </c>
      <c r="T23" s="9">
        <f t="shared" si="2"/>
        <v>45473</v>
      </c>
      <c r="U23" s="5">
        <f t="shared" si="3"/>
        <v>10525.87</v>
      </c>
    </row>
    <row r="24" spans="2:23" x14ac:dyDescent="0.2">
      <c r="B24" s="181">
        <f t="shared" si="6"/>
        <v>7</v>
      </c>
      <c r="C24" s="162">
        <f t="shared" si="7"/>
        <v>45503</v>
      </c>
      <c r="D24" s="6">
        <f>IFERROR((PPMT(Input!$E$55/12,B24,$C$6,Input!$E$54,-Input!$E$65,0))," ")</f>
        <v>-3067.213315387477</v>
      </c>
      <c r="E24" s="6">
        <f>IFERROR(((IPMT(Input!$E$55/12,B24,$C$6,Input!$E$54,-Input!$E$65,0)))," ")</f>
        <v>-7250.3216867826241</v>
      </c>
      <c r="F24" s="6">
        <f t="shared" si="9"/>
        <v>-21178.845290087349</v>
      </c>
      <c r="G24" s="6">
        <f t="shared" si="8"/>
        <v>-51043.899725103358</v>
      </c>
      <c r="H24" s="6">
        <f t="shared" si="4"/>
        <v>-10317.535002170102</v>
      </c>
      <c r="I24" s="6">
        <f t="shared" si="5"/>
        <v>1578821.1547099126</v>
      </c>
      <c r="J24" s="6" t="str">
        <f>IF(B24&lt;&gt;"",IF(AND(Input!$H$54="Annual",MOD(B24,12)=0),Input!$J$54,IF(AND(Input!$H$54="1st Installment",B24=1),Input!$J$54,IF(Input!$H$54="Monthly",Input!$J$54,""))),"")</f>
        <v/>
      </c>
      <c r="K24" s="6" t="str">
        <f>IF(B24&lt;&gt;"",IF(AND(Input!$H$55="Annual",MOD(B24,12)=0),Input!$J$55,IF(AND(Input!$H$55="1st Installment",B24=1),Input!$J$55,IF(Input!$H$55="Monthly",Input!$J$55,""))),"")</f>
        <v/>
      </c>
      <c r="L24" s="6">
        <f>IF(B24&lt;&gt;"",IF(AND(Input!$H$56="Annual",MOD(B24,12)=0),Input!$J$56,IF(AND(Input!$H$56="1st Installment",B24=1),Input!$J$56,IF(Input!$H$56="Monthly",Input!$J$56,""))),"")</f>
        <v>208.33333333333334</v>
      </c>
      <c r="M24" s="6" t="str">
        <f>IF(B24&lt;&gt;"",IF(AND(Input!$H$57="Annual",MOD(B24,12)=0),Input!$J$57,IF(AND(Input!$H$57="1st Installment",B24=1),Input!$J$57,IF(Input!$H$57="Monthly",Input!$J$57,""))),"")</f>
        <v/>
      </c>
      <c r="N24" s="6" t="str">
        <f>IF(B24&lt;&gt;"",IF(AND(Input!$H$58="Annual",MOD(B24,12)=0),Input!$J$58,IF(AND(Input!$H$58="1st Installment",B24=1),Input!$J$58,IF(Input!$H$58="Monthly",Input!$J$58,IF(AND(Input!$H$58="End of the loan",B24=Input!$E$58),Input!$J$58,"")))),"")</f>
        <v/>
      </c>
      <c r="O24" s="6">
        <f t="shared" si="0"/>
        <v>208.33333333333334</v>
      </c>
      <c r="P24" s="4">
        <f t="shared" si="1"/>
        <v>10525.868335503435</v>
      </c>
      <c r="T24" s="9">
        <f t="shared" si="2"/>
        <v>45503</v>
      </c>
      <c r="U24" s="5">
        <f t="shared" si="3"/>
        <v>10525.87</v>
      </c>
    </row>
    <row r="25" spans="2:23" x14ac:dyDescent="0.2">
      <c r="B25" s="181">
        <f t="shared" si="6"/>
        <v>8</v>
      </c>
      <c r="C25" s="162">
        <f t="shared" si="7"/>
        <v>45534</v>
      </c>
      <c r="D25" s="6">
        <f>IFERROR((PPMT(Input!$E$55/12,B25,$C$6,Input!$E$54,-Input!$E$65,0))," ")</f>
        <v>-3081.2713764163359</v>
      </c>
      <c r="E25" s="6">
        <f>IFERROR(((IPMT(Input!$E$55/12,B25,$C$6,Input!$E$54,-Input!$E$65,0)))," ")</f>
        <v>-7236.2636257537652</v>
      </c>
      <c r="F25" s="6">
        <f t="shared" si="9"/>
        <v>-24260.116666503684</v>
      </c>
      <c r="G25" s="6">
        <f t="shared" si="8"/>
        <v>-58280.163350857125</v>
      </c>
      <c r="H25" s="6">
        <f t="shared" si="4"/>
        <v>-10317.535002170102</v>
      </c>
      <c r="I25" s="6">
        <f t="shared" si="5"/>
        <v>1575739.8833334963</v>
      </c>
      <c r="J25" s="6" t="str">
        <f>IF(B25&lt;&gt;"",IF(AND(Input!$H$54="Annual",MOD(B25,12)=0),Input!$J$54,IF(AND(Input!$H$54="1st Installment",B25=1),Input!$J$54,IF(Input!$H$54="Monthly",Input!$J$54,""))),"")</f>
        <v/>
      </c>
      <c r="K25" s="6" t="str">
        <f>IF(B25&lt;&gt;"",IF(AND(Input!$H$55="Annual",MOD(B25,12)=0),Input!$J$55,IF(AND(Input!$H$55="1st Installment",B25=1),Input!$J$55,IF(Input!$H$55="Monthly",Input!$J$55,""))),"")</f>
        <v/>
      </c>
      <c r="L25" s="6">
        <f>IF(B25&lt;&gt;"",IF(AND(Input!$H$56="Annual",MOD(B25,12)=0),Input!$J$56,IF(AND(Input!$H$56="1st Installment",B25=1),Input!$J$56,IF(Input!$H$56="Monthly",Input!$J$56,""))),"")</f>
        <v>208.33333333333334</v>
      </c>
      <c r="M25" s="6" t="str">
        <f>IF(B25&lt;&gt;"",IF(AND(Input!$H$57="Annual",MOD(B25,12)=0),Input!$J$57,IF(AND(Input!$H$57="1st Installment",B25=1),Input!$J$57,IF(Input!$H$57="Monthly",Input!$J$57,""))),"")</f>
        <v/>
      </c>
      <c r="N25" s="6" t="str">
        <f>IF(B25&lt;&gt;"",IF(AND(Input!$H$58="Annual",MOD(B25,12)=0),Input!$J$58,IF(AND(Input!$H$58="1st Installment",B25=1),Input!$J$58,IF(Input!$H$58="Monthly",Input!$J$58,IF(AND(Input!$H$58="End of the loan",B25=Input!$E$58),Input!$J$58,"")))),"")</f>
        <v/>
      </c>
      <c r="O25" s="6">
        <f t="shared" si="0"/>
        <v>208.33333333333334</v>
      </c>
      <c r="P25" s="4">
        <f t="shared" si="1"/>
        <v>10525.868335503435</v>
      </c>
      <c r="T25" s="9">
        <f t="shared" si="2"/>
        <v>45534</v>
      </c>
      <c r="U25" s="5">
        <f t="shared" si="3"/>
        <v>10525.87</v>
      </c>
    </row>
    <row r="26" spans="2:23" x14ac:dyDescent="0.2">
      <c r="B26" s="181">
        <f t="shared" si="6"/>
        <v>9</v>
      </c>
      <c r="C26" s="162">
        <f t="shared" si="7"/>
        <v>45565</v>
      </c>
      <c r="D26" s="6">
        <f>IFERROR((PPMT(Input!$E$55/12,B26,$C$6,Input!$E$54,-Input!$E$65,0))," ")</f>
        <v>-3095.3938702249111</v>
      </c>
      <c r="E26" s="6">
        <f>IFERROR(((IPMT(Input!$E$55/12,B26,$C$6,Input!$E$54,-Input!$E$65,0)))," ")</f>
        <v>-7222.14113194519</v>
      </c>
      <c r="F26" s="6">
        <f t="shared" si="9"/>
        <v>-27355.510536728594</v>
      </c>
      <c r="G26" s="6">
        <f t="shared" si="8"/>
        <v>-65502.304482802312</v>
      </c>
      <c r="H26" s="6">
        <f t="shared" si="4"/>
        <v>-10317.535002170102</v>
      </c>
      <c r="I26" s="6">
        <f t="shared" si="5"/>
        <v>1572644.4894632713</v>
      </c>
      <c r="J26" s="6" t="str">
        <f>IF(B26&lt;&gt;"",IF(AND(Input!$H$54="Annual",MOD(B26,12)=0),Input!$J$54,IF(AND(Input!$H$54="1st Installment",B26=1),Input!$J$54,IF(Input!$H$54="Monthly",Input!$J$54,""))),"")</f>
        <v/>
      </c>
      <c r="K26" s="6" t="str">
        <f>IF(B26&lt;&gt;"",IF(AND(Input!$H$55="Annual",MOD(B26,12)=0),Input!$J$55,IF(AND(Input!$H$55="1st Installment",B26=1),Input!$J$55,IF(Input!$H$55="Monthly",Input!$J$55,""))),"")</f>
        <v/>
      </c>
      <c r="L26" s="6">
        <f>IF(B26&lt;&gt;"",IF(AND(Input!$H$56="Annual",MOD(B26,12)=0),Input!$J$56,IF(AND(Input!$H$56="1st Installment",B26=1),Input!$J$56,IF(Input!$H$56="Monthly",Input!$J$56,""))),"")</f>
        <v>208.33333333333334</v>
      </c>
      <c r="M26" s="6" t="str">
        <f>IF(B26&lt;&gt;"",IF(AND(Input!$H$57="Annual",MOD(B26,12)=0),Input!$J$57,IF(AND(Input!$H$57="1st Installment",B26=1),Input!$J$57,IF(Input!$H$57="Monthly",Input!$J$57,""))),"")</f>
        <v/>
      </c>
      <c r="N26" s="6" t="str">
        <f>IF(B26&lt;&gt;"",IF(AND(Input!$H$58="Annual",MOD(B26,12)=0),Input!$J$58,IF(AND(Input!$H$58="1st Installment",B26=1),Input!$J$58,IF(Input!$H$58="Monthly",Input!$J$58,IF(AND(Input!$H$58="End of the loan",B26=Input!$E$58),Input!$J$58,"")))),"")</f>
        <v/>
      </c>
      <c r="O26" s="6">
        <f t="shared" si="0"/>
        <v>208.33333333333334</v>
      </c>
      <c r="P26" s="4">
        <f t="shared" si="1"/>
        <v>10525.868335503435</v>
      </c>
      <c r="T26" s="9">
        <f t="shared" si="2"/>
        <v>45565</v>
      </c>
      <c r="U26" s="5">
        <f t="shared" si="3"/>
        <v>10525.87</v>
      </c>
    </row>
    <row r="27" spans="2:23" x14ac:dyDescent="0.2">
      <c r="B27" s="181">
        <f t="shared" si="6"/>
        <v>10</v>
      </c>
      <c r="C27" s="162">
        <f t="shared" si="7"/>
        <v>45595</v>
      </c>
      <c r="D27" s="6">
        <f>IFERROR((PPMT(Input!$E$55/12,B27,$C$6,Input!$E$54,-Input!$E$65,0))," ")</f>
        <v>-3109.5810921301081</v>
      </c>
      <c r="E27" s="6">
        <f>IFERROR(((IPMT(Input!$E$55/12,B27,$C$6,Input!$E$54,-Input!$E$65,0)))," ")</f>
        <v>-7207.9539100399925</v>
      </c>
      <c r="F27" s="6">
        <f t="shared" si="9"/>
        <v>-30465.091628858703</v>
      </c>
      <c r="G27" s="6">
        <f t="shared" si="8"/>
        <v>-72710.258392842312</v>
      </c>
      <c r="H27" s="6">
        <f t="shared" si="4"/>
        <v>-10317.535002170102</v>
      </c>
      <c r="I27" s="6">
        <f t="shared" si="5"/>
        <v>1569534.9083711412</v>
      </c>
      <c r="J27" s="6" t="str">
        <f>IF(B27&lt;&gt;"",IF(AND(Input!$H$54="Annual",MOD(B27,12)=0),Input!$J$54,IF(AND(Input!$H$54="1st Installment",B27=1),Input!$J$54,IF(Input!$H$54="Monthly",Input!$J$54,""))),"")</f>
        <v/>
      </c>
      <c r="K27" s="6" t="str">
        <f>IF(B27&lt;&gt;"",IF(AND(Input!$H$55="Annual",MOD(B27,12)=0),Input!$J$55,IF(AND(Input!$H$55="1st Installment",B27=1),Input!$J$55,IF(Input!$H$55="Monthly",Input!$J$55,""))),"")</f>
        <v/>
      </c>
      <c r="L27" s="6">
        <f>IF(B27&lt;&gt;"",IF(AND(Input!$H$56="Annual",MOD(B27,12)=0),Input!$J$56,IF(AND(Input!$H$56="1st Installment",B27=1),Input!$J$56,IF(Input!$H$56="Monthly",Input!$J$56,""))),"")</f>
        <v>208.33333333333334</v>
      </c>
      <c r="M27" s="6" t="str">
        <f>IF(B27&lt;&gt;"",IF(AND(Input!$H$57="Annual",MOD(B27,12)=0),Input!$J$57,IF(AND(Input!$H$57="1st Installment",B27=1),Input!$J$57,IF(Input!$H$57="Monthly",Input!$J$57,""))),"")</f>
        <v/>
      </c>
      <c r="N27" s="6" t="str">
        <f>IF(B27&lt;&gt;"",IF(AND(Input!$H$58="Annual",MOD(B27,12)=0),Input!$J$58,IF(AND(Input!$H$58="1st Installment",B27=1),Input!$J$58,IF(Input!$H$58="Monthly",Input!$J$58,IF(AND(Input!$H$58="End of the loan",B27=Input!$E$58),Input!$J$58,"")))),"")</f>
        <v/>
      </c>
      <c r="O27" s="6">
        <f t="shared" si="0"/>
        <v>208.33333333333334</v>
      </c>
      <c r="P27" s="4">
        <f t="shared" si="1"/>
        <v>10525.868335503435</v>
      </c>
      <c r="T27" s="9">
        <f t="shared" si="2"/>
        <v>45595</v>
      </c>
      <c r="U27" s="5">
        <f t="shared" si="3"/>
        <v>10525.87</v>
      </c>
    </row>
    <row r="28" spans="2:23" x14ac:dyDescent="0.2">
      <c r="B28" s="181">
        <f t="shared" si="6"/>
        <v>11</v>
      </c>
      <c r="C28" s="162">
        <f t="shared" si="7"/>
        <v>45626</v>
      </c>
      <c r="D28" s="6">
        <f>IFERROR((PPMT(Input!$E$55/12,B28,$C$6,Input!$E$54,-Input!$E$65,0))," ")</f>
        <v>-3123.8333388023716</v>
      </c>
      <c r="E28" s="6">
        <f>IFERROR(((IPMT(Input!$E$55/12,B28,$C$6,Input!$E$54,-Input!$E$65,0)))," ")</f>
        <v>-7193.7016633677295</v>
      </c>
      <c r="F28" s="6">
        <f t="shared" si="9"/>
        <v>-33588.924967661078</v>
      </c>
      <c r="G28" s="6">
        <f t="shared" si="8"/>
        <v>-79903.960056210039</v>
      </c>
      <c r="H28" s="6">
        <f t="shared" si="4"/>
        <v>-10317.535002170102</v>
      </c>
      <c r="I28" s="6">
        <f t="shared" si="5"/>
        <v>1566411.075032339</v>
      </c>
      <c r="J28" s="6" t="str">
        <f>IF(B28&lt;&gt;"",IF(AND(Input!$H$54="Annual",MOD(B28,12)=0),Input!$J$54,IF(AND(Input!$H$54="1st Installment",B28=1),Input!$J$54,IF(Input!$H$54="Monthly",Input!$J$54,""))),"")</f>
        <v/>
      </c>
      <c r="K28" s="6" t="str">
        <f>IF(B28&lt;&gt;"",IF(AND(Input!$H$55="Annual",MOD(B28,12)=0),Input!$J$55,IF(AND(Input!$H$55="1st Installment",B28=1),Input!$J$55,IF(Input!$H$55="Monthly",Input!$J$55,""))),"")</f>
        <v/>
      </c>
      <c r="L28" s="6">
        <f>IF(B28&lt;&gt;"",IF(AND(Input!$H$56="Annual",MOD(B28,12)=0),Input!$J$56,IF(AND(Input!$H$56="1st Installment",B28=1),Input!$J$56,IF(Input!$H$56="Monthly",Input!$J$56,""))),"")</f>
        <v>208.33333333333334</v>
      </c>
      <c r="M28" s="6" t="str">
        <f>IF(B28&lt;&gt;"",IF(AND(Input!$H$57="Annual",MOD(B28,12)=0),Input!$J$57,IF(AND(Input!$H$57="1st Installment",B28=1),Input!$J$57,IF(Input!$H$57="Monthly",Input!$J$57,""))),"")</f>
        <v/>
      </c>
      <c r="N28" s="6" t="str">
        <f>IF(B28&lt;&gt;"",IF(AND(Input!$H$58="Annual",MOD(B28,12)=0),Input!$J$58,IF(AND(Input!$H$58="1st Installment",B28=1),Input!$J$58,IF(Input!$H$58="Monthly",Input!$J$58,IF(AND(Input!$H$58="End of the loan",B28=Input!$E$58),Input!$J$58,"")))),"")</f>
        <v/>
      </c>
      <c r="O28" s="6">
        <f t="shared" si="0"/>
        <v>208.33333333333334</v>
      </c>
      <c r="P28" s="4">
        <f t="shared" si="1"/>
        <v>10525.868335503435</v>
      </c>
      <c r="T28" s="9">
        <f t="shared" si="2"/>
        <v>45626</v>
      </c>
      <c r="U28" s="5">
        <f t="shared" si="3"/>
        <v>10525.87</v>
      </c>
    </row>
    <row r="29" spans="2:23" x14ac:dyDescent="0.2">
      <c r="B29" s="181">
        <f t="shared" si="6"/>
        <v>12</v>
      </c>
      <c r="C29" s="162">
        <f t="shared" si="7"/>
        <v>45656</v>
      </c>
      <c r="D29" s="6">
        <f>IFERROR((PPMT(Input!$E$55/12,B29,$C$6,Input!$E$54,-Input!$E$65,0))," ")</f>
        <v>-3138.1509082718821</v>
      </c>
      <c r="E29" s="6">
        <f>IFERROR(((IPMT(Input!$E$55/12,B29,$C$6,Input!$E$54,-Input!$E$65,0)))," ")</f>
        <v>-7179.3840938982194</v>
      </c>
      <c r="F29" s="6">
        <f t="shared" si="9"/>
        <v>-36727.075875932962</v>
      </c>
      <c r="G29" s="6">
        <f t="shared" si="8"/>
        <v>-87083.344150108256</v>
      </c>
      <c r="H29" s="6">
        <f t="shared" si="4"/>
        <v>-10317.535002170102</v>
      </c>
      <c r="I29" s="6">
        <f t="shared" si="5"/>
        <v>1563272.924124067</v>
      </c>
      <c r="J29" s="6" t="str">
        <f>IF(B29&lt;&gt;"",IF(AND(Input!$H$54="Annual",MOD(B29,12)=0),Input!$J$54,IF(AND(Input!$H$54="1st Installment",B29=1),Input!$J$54,IF(Input!$H$54="Monthly",Input!$J$54,""))),"")</f>
        <v/>
      </c>
      <c r="K29" s="6">
        <f>IF(B29&lt;&gt;"",IF(AND(Input!$H$55="Annual",MOD(B29,12)=0),Input!$J$55,IF(AND(Input!$H$55="1st Installment",B29=1),Input!$J$55,IF(Input!$H$55="Monthly",Input!$J$55,""))),"")</f>
        <v>0</v>
      </c>
      <c r="L29" s="6">
        <f>IF(B29&lt;&gt;"",IF(AND(Input!$H$56="Annual",MOD(B29,12)=0),Input!$J$56,IF(AND(Input!$H$56="1st Installment",B29=1),Input!$J$56,IF(Input!$H$56="Monthly",Input!$J$56,""))),"")</f>
        <v>208.33333333333334</v>
      </c>
      <c r="M29" s="6" t="str">
        <f>IF(B29&lt;&gt;"",IF(AND(Input!$H$57="Annual",MOD(B29,12)=0),Input!$J$57,IF(AND(Input!$H$57="1st Installment",B29=1),Input!$J$57,IF(Input!$H$57="Monthly",Input!$J$57,""))),"")</f>
        <v/>
      </c>
      <c r="N29" s="6">
        <f>IF(B29&lt;&gt;"",IF(AND(Input!$H$58="Annual",MOD(B29,12)=0),Input!$J$58,IF(AND(Input!$H$58="1st Installment",B29=1),Input!$J$58,IF(Input!$H$58="Monthly",Input!$J$58,IF(AND(Input!$H$58="End of the loan",B29=Input!$E$58),Input!$J$58,"")))),"")</f>
        <v>0</v>
      </c>
      <c r="O29" s="6">
        <f t="shared" si="0"/>
        <v>208.33333333333334</v>
      </c>
      <c r="P29" s="4">
        <f t="shared" si="1"/>
        <v>10525.868335503435</v>
      </c>
      <c r="T29" s="9">
        <f t="shared" si="2"/>
        <v>45656</v>
      </c>
      <c r="U29" s="5">
        <f t="shared" si="3"/>
        <v>10525.87</v>
      </c>
    </row>
    <row r="30" spans="2:23" x14ac:dyDescent="0.2">
      <c r="B30" s="181">
        <f t="shared" si="6"/>
        <v>13</v>
      </c>
      <c r="C30" s="162">
        <f t="shared" si="7"/>
        <v>45687</v>
      </c>
      <c r="D30" s="6">
        <f>IFERROR((PPMT(Input!$E$55/12,B30,$C$6,Input!$E$54,-Input!$E$65,0))," ")</f>
        <v>-3152.5340999347954</v>
      </c>
      <c r="E30" s="6">
        <f>IFERROR(((IPMT(Input!$E$55/12,B30,$C$6,Input!$E$54,-Input!$E$65,0)))," ")</f>
        <v>-7165.000902235307</v>
      </c>
      <c r="F30" s="6">
        <f t="shared" si="9"/>
        <v>-39879.609975867759</v>
      </c>
      <c r="G30" s="6">
        <f t="shared" si="8"/>
        <v>-94248.34505234356</v>
      </c>
      <c r="H30" s="6">
        <f t="shared" si="4"/>
        <v>-10317.535002170102</v>
      </c>
      <c r="I30" s="6">
        <f t="shared" si="5"/>
        <v>1560120.3900241323</v>
      </c>
      <c r="J30" s="6" t="str">
        <f>IF(B30&lt;&gt;"",IF(AND(Input!$H$54="Annual",MOD(B30,12)=0),Input!$J$54,IF(AND(Input!$H$54="1st Installment",B30=1),Input!$J$54,IF(Input!$H$54="Monthly",Input!$J$54,""))),"")</f>
        <v/>
      </c>
      <c r="K30" s="6" t="str">
        <f>IF(B30&lt;&gt;"",IF(AND(Input!$H$55="Annual",MOD(B30,12)=0),Input!$J$55,IF(AND(Input!$H$55="1st Installment",B30=1),Input!$J$55,IF(Input!$H$55="Monthly",Input!$J$55,""))),"")</f>
        <v/>
      </c>
      <c r="L30" s="6">
        <f>IF(B30&lt;&gt;"",IF(AND(Input!$H$56="Annual",MOD(B30,12)=0),Input!$J$56,IF(AND(Input!$H$56="1st Installment",B30=1),Input!$J$56,IF(Input!$H$56="Monthly",Input!$J$56,""))),"")</f>
        <v>208.33333333333334</v>
      </c>
      <c r="M30" s="6" t="str">
        <f>IF(B30&lt;&gt;"",IF(AND(Input!$H$57="Annual",MOD(B30,12)=0),Input!$J$57,IF(AND(Input!$H$57="1st Installment",B30=1),Input!$J$57,IF(Input!$H$57="Monthly",Input!$J$57,""))),"")</f>
        <v/>
      </c>
      <c r="N30" s="6" t="str">
        <f>IF(B30&lt;&gt;"",IF(AND(Input!$H$58="Annual",MOD(B30,12)=0),Input!$J$58,IF(AND(Input!$H$58="1st Installment",B30=1),Input!$J$58,IF(Input!$H$58="Monthly",Input!$J$58,IF(AND(Input!$H$58="End of the loan",B30=Input!$E$58),Input!$J$58,"")))),"")</f>
        <v/>
      </c>
      <c r="O30" s="6">
        <f t="shared" si="0"/>
        <v>208.33333333333334</v>
      </c>
      <c r="P30" s="4">
        <f t="shared" si="1"/>
        <v>10525.868335503435</v>
      </c>
      <c r="T30" s="9">
        <f t="shared" si="2"/>
        <v>45687</v>
      </c>
      <c r="U30" s="5">
        <f t="shared" si="3"/>
        <v>10525.87</v>
      </c>
    </row>
    <row r="31" spans="2:23" x14ac:dyDescent="0.2">
      <c r="B31" s="181">
        <f t="shared" si="6"/>
        <v>14</v>
      </c>
      <c r="C31" s="162">
        <f t="shared" si="7"/>
        <v>45716</v>
      </c>
      <c r="D31" s="6">
        <f>IFERROR((PPMT(Input!$E$55/12,B31,$C$6,Input!$E$54,-Input!$E$65,0))," ")</f>
        <v>-3166.9832145594964</v>
      </c>
      <c r="E31" s="6">
        <f>IFERROR(((IPMT(Input!$E$55/12,B31,$C$6,Input!$E$54,-Input!$E$65,0)))," ")</f>
        <v>-7150.5517876106042</v>
      </c>
      <c r="F31" s="6">
        <f t="shared" si="9"/>
        <v>-43046.593190427258</v>
      </c>
      <c r="G31" s="6">
        <f t="shared" si="8"/>
        <v>-101398.89683995416</v>
      </c>
      <c r="H31" s="6">
        <f t="shared" si="4"/>
        <v>-10317.535002170102</v>
      </c>
      <c r="I31" s="6">
        <f t="shared" si="5"/>
        <v>1556953.4068095728</v>
      </c>
      <c r="J31" s="6" t="str">
        <f>IF(B31&lt;&gt;"",IF(AND(Input!$H$54="Annual",MOD(B31,12)=0),Input!$J$54,IF(AND(Input!$H$54="1st Installment",B31=1),Input!$J$54,IF(Input!$H$54="Monthly",Input!$J$54,""))),"")</f>
        <v/>
      </c>
      <c r="K31" s="6" t="str">
        <f>IF(B31&lt;&gt;"",IF(AND(Input!$H$55="Annual",MOD(B31,12)=0),Input!$J$55,IF(AND(Input!$H$55="1st Installment",B31=1),Input!$J$55,IF(Input!$H$55="Monthly",Input!$J$55,""))),"")</f>
        <v/>
      </c>
      <c r="L31" s="6">
        <f>IF(B31&lt;&gt;"",IF(AND(Input!$H$56="Annual",MOD(B31,12)=0),Input!$J$56,IF(AND(Input!$H$56="1st Installment",B31=1),Input!$J$56,IF(Input!$H$56="Monthly",Input!$J$56,""))),"")</f>
        <v>208.33333333333334</v>
      </c>
      <c r="M31" s="6" t="str">
        <f>IF(B31&lt;&gt;"",IF(AND(Input!$H$57="Annual",MOD(B31,12)=0),Input!$J$57,IF(AND(Input!$H$57="1st Installment",B31=1),Input!$J$57,IF(Input!$H$57="Monthly",Input!$J$57,""))),"")</f>
        <v/>
      </c>
      <c r="N31" s="6" t="str">
        <f>IF(B31&lt;&gt;"",IF(AND(Input!$H$58="Annual",MOD(B31,12)=0),Input!$J$58,IF(AND(Input!$H$58="1st Installment",B31=1),Input!$J$58,IF(Input!$H$58="Monthly",Input!$J$58,IF(AND(Input!$H$58="End of the loan",B31=Input!$E$58),Input!$J$58,"")))),"")</f>
        <v/>
      </c>
      <c r="O31" s="6">
        <f t="shared" si="0"/>
        <v>208.33333333333334</v>
      </c>
      <c r="P31" s="4">
        <f t="shared" si="1"/>
        <v>10525.868335503435</v>
      </c>
      <c r="T31" s="9">
        <f t="shared" si="2"/>
        <v>45716</v>
      </c>
      <c r="U31" s="5">
        <f t="shared" si="3"/>
        <v>10525.87</v>
      </c>
    </row>
    <row r="32" spans="2:23" x14ac:dyDescent="0.2">
      <c r="B32" s="181">
        <f t="shared" si="6"/>
        <v>15</v>
      </c>
      <c r="C32" s="162">
        <f t="shared" si="7"/>
        <v>45746</v>
      </c>
      <c r="D32" s="6">
        <f>IFERROR((PPMT(Input!$E$55/12,B32,$C$6,Input!$E$54,-Input!$E$65,0))," ")</f>
        <v>-3181.4985542928944</v>
      </c>
      <c r="E32" s="6">
        <f>IFERROR(((IPMT(Input!$E$55/12,B32,$C$6,Input!$E$54,-Input!$E$65,0)))," ")</f>
        <v>-7136.0364478772071</v>
      </c>
      <c r="F32" s="6">
        <f t="shared" si="9"/>
        <v>-46228.09174472015</v>
      </c>
      <c r="G32" s="6">
        <f t="shared" si="8"/>
        <v>-108534.93328783137</v>
      </c>
      <c r="H32" s="6">
        <f t="shared" si="4"/>
        <v>-10317.535002170102</v>
      </c>
      <c r="I32" s="6">
        <f t="shared" si="5"/>
        <v>1553771.9082552798</v>
      </c>
      <c r="J32" s="6" t="str">
        <f>IF(B32&lt;&gt;"",IF(AND(Input!$H$54="Annual",MOD(B32,12)=0),Input!$J$54,IF(AND(Input!$H$54="1st Installment",B32=1),Input!$J$54,IF(Input!$H$54="Monthly",Input!$J$54,""))),"")</f>
        <v/>
      </c>
      <c r="K32" s="6" t="str">
        <f>IF(B32&lt;&gt;"",IF(AND(Input!$H$55="Annual",MOD(B32,12)=0),Input!$J$55,IF(AND(Input!$H$55="1st Installment",B32=1),Input!$J$55,IF(Input!$H$55="Monthly",Input!$J$55,""))),"")</f>
        <v/>
      </c>
      <c r="L32" s="6">
        <f>IF(B32&lt;&gt;"",IF(AND(Input!$H$56="Annual",MOD(B32,12)=0),Input!$J$56,IF(AND(Input!$H$56="1st Installment",B32=1),Input!$J$56,IF(Input!$H$56="Monthly",Input!$J$56,""))),"")</f>
        <v>208.33333333333334</v>
      </c>
      <c r="M32" s="6" t="str">
        <f>IF(B32&lt;&gt;"",IF(AND(Input!$H$57="Annual",MOD(B32,12)=0),Input!$J$57,IF(AND(Input!$H$57="1st Installment",B32=1),Input!$J$57,IF(Input!$H$57="Monthly",Input!$J$57,""))),"")</f>
        <v/>
      </c>
      <c r="N32" s="6" t="str">
        <f>IF(B32&lt;&gt;"",IF(AND(Input!$H$58="Annual",MOD(B32,12)=0),Input!$J$58,IF(AND(Input!$H$58="1st Installment",B32=1),Input!$J$58,IF(Input!$H$58="Monthly",Input!$J$58,IF(AND(Input!$H$58="End of the loan",B32=Input!$E$58),Input!$J$58,"")))),"")</f>
        <v/>
      </c>
      <c r="O32" s="6">
        <f t="shared" si="0"/>
        <v>208.33333333333334</v>
      </c>
      <c r="P32" s="4">
        <f t="shared" si="1"/>
        <v>10525.868335503435</v>
      </c>
      <c r="T32" s="9">
        <f t="shared" si="2"/>
        <v>45746</v>
      </c>
      <c r="U32" s="5">
        <f t="shared" si="3"/>
        <v>10525.87</v>
      </c>
    </row>
    <row r="33" spans="2:21" x14ac:dyDescent="0.2">
      <c r="B33" s="181">
        <f t="shared" si="6"/>
        <v>16</v>
      </c>
      <c r="C33" s="162">
        <f t="shared" si="7"/>
        <v>45777</v>
      </c>
      <c r="D33" s="6">
        <f>IFERROR((PPMT(Input!$E$55/12,B33,$C$6,Input!$E$54,-Input!$E$65,0))," ")</f>
        <v>-3196.0804226667365</v>
      </c>
      <c r="E33" s="6">
        <f>IFERROR(((IPMT(Input!$E$55/12,B33,$C$6,Input!$E$54,-Input!$E$65,0)))," ")</f>
        <v>-7121.4545795033655</v>
      </c>
      <c r="F33" s="6">
        <f t="shared" si="9"/>
        <v>-49424.172167386889</v>
      </c>
      <c r="G33" s="6">
        <f t="shared" si="8"/>
        <v>-115656.38786733474</v>
      </c>
      <c r="H33" s="6">
        <f t="shared" si="4"/>
        <v>-10317.535002170102</v>
      </c>
      <c r="I33" s="6">
        <f t="shared" si="5"/>
        <v>1550575.8278326131</v>
      </c>
      <c r="J33" s="6" t="str">
        <f>IF(B33&lt;&gt;"",IF(AND(Input!$H$54="Annual",MOD(B33,12)=0),Input!$J$54,IF(AND(Input!$H$54="1st Installment",B33=1),Input!$J$54,IF(Input!$H$54="Monthly",Input!$J$54,""))),"")</f>
        <v/>
      </c>
      <c r="K33" s="6" t="str">
        <f>IF(B33&lt;&gt;"",IF(AND(Input!$H$55="Annual",MOD(B33,12)=0),Input!$J$55,IF(AND(Input!$H$55="1st Installment",B33=1),Input!$J$55,IF(Input!$H$55="Monthly",Input!$J$55,""))),"")</f>
        <v/>
      </c>
      <c r="L33" s="6">
        <f>IF(B33&lt;&gt;"",IF(AND(Input!$H$56="Annual",MOD(B33,12)=0),Input!$J$56,IF(AND(Input!$H$56="1st Installment",B33=1),Input!$J$56,IF(Input!$H$56="Monthly",Input!$J$56,""))),"")</f>
        <v>208.33333333333334</v>
      </c>
      <c r="M33" s="6" t="str">
        <f>IF(B33&lt;&gt;"",IF(AND(Input!$H$57="Annual",MOD(B33,12)=0),Input!$J$57,IF(AND(Input!$H$57="1st Installment",B33=1),Input!$J$57,IF(Input!$H$57="Monthly",Input!$J$57,""))),"")</f>
        <v/>
      </c>
      <c r="N33" s="6" t="str">
        <f>IF(B33&lt;&gt;"",IF(AND(Input!$H$58="Annual",MOD(B33,12)=0),Input!$J$58,IF(AND(Input!$H$58="1st Installment",B33=1),Input!$J$58,IF(Input!$H$58="Monthly",Input!$J$58,IF(AND(Input!$H$58="End of the loan",B33=Input!$E$58),Input!$J$58,"")))),"")</f>
        <v/>
      </c>
      <c r="O33" s="6">
        <f t="shared" si="0"/>
        <v>208.33333333333334</v>
      </c>
      <c r="P33" s="4">
        <f t="shared" si="1"/>
        <v>10525.868335503435</v>
      </c>
      <c r="T33" s="9">
        <f t="shared" si="2"/>
        <v>45777</v>
      </c>
      <c r="U33" s="5">
        <f t="shared" si="3"/>
        <v>10525.87</v>
      </c>
    </row>
    <row r="34" spans="2:21" x14ac:dyDescent="0.2">
      <c r="B34" s="181">
        <f t="shared" si="6"/>
        <v>17</v>
      </c>
      <c r="C34" s="162">
        <f t="shared" si="7"/>
        <v>45807</v>
      </c>
      <c r="D34" s="6">
        <f>IFERROR((PPMT(Input!$E$55/12,B34,$C$6,Input!$E$54,-Input!$E$65,0))," ")</f>
        <v>-3210.729124603959</v>
      </c>
      <c r="E34" s="6">
        <f>IFERROR(((IPMT(Input!$E$55/12,B34,$C$6,Input!$E$54,-Input!$E$65,0)))," ")</f>
        <v>-7106.805877566143</v>
      </c>
      <c r="F34" s="6">
        <f t="shared" si="9"/>
        <v>-52634.901291990849</v>
      </c>
      <c r="G34" s="6">
        <f t="shared" si="8"/>
        <v>-122763.19374490088</v>
      </c>
      <c r="H34" s="6">
        <f t="shared" si="4"/>
        <v>-10317.535002170102</v>
      </c>
      <c r="I34" s="6">
        <f t="shared" si="5"/>
        <v>1547365.0987080091</v>
      </c>
      <c r="J34" s="6" t="str">
        <f>IF(B34&lt;&gt;"",IF(AND(Input!$H$54="Annual",MOD(B34,12)=0),Input!$J$54,IF(AND(Input!$H$54="1st Installment",B34=1),Input!$J$54,IF(Input!$H$54="Monthly",Input!$J$54,""))),"")</f>
        <v/>
      </c>
      <c r="K34" s="6" t="str">
        <f>IF(B34&lt;&gt;"",IF(AND(Input!$H$55="Annual",MOD(B34,12)=0),Input!$J$55,IF(AND(Input!$H$55="1st Installment",B34=1),Input!$J$55,IF(Input!$H$55="Monthly",Input!$J$55,""))),"")</f>
        <v/>
      </c>
      <c r="L34" s="6">
        <f>IF(B34&lt;&gt;"",IF(AND(Input!$H$56="Annual",MOD(B34,12)=0),Input!$J$56,IF(AND(Input!$H$56="1st Installment",B34=1),Input!$J$56,IF(Input!$H$56="Monthly",Input!$J$56,""))),"")</f>
        <v>208.33333333333334</v>
      </c>
      <c r="M34" s="6" t="str">
        <f>IF(B34&lt;&gt;"",IF(AND(Input!$H$57="Annual",MOD(B34,12)=0),Input!$J$57,IF(AND(Input!$H$57="1st Installment",B34=1),Input!$J$57,IF(Input!$H$57="Monthly",Input!$J$57,""))),"")</f>
        <v/>
      </c>
      <c r="N34" s="6" t="str">
        <f>IF(B34&lt;&gt;"",IF(AND(Input!$H$58="Annual",MOD(B34,12)=0),Input!$J$58,IF(AND(Input!$H$58="1st Installment",B34=1),Input!$J$58,IF(Input!$H$58="Monthly",Input!$J$58,IF(AND(Input!$H$58="End of the loan",B34=Input!$E$58),Input!$J$58,"")))),"")</f>
        <v/>
      </c>
      <c r="O34" s="6">
        <f t="shared" si="0"/>
        <v>208.33333333333334</v>
      </c>
      <c r="P34" s="4">
        <f t="shared" si="1"/>
        <v>10525.868335503435</v>
      </c>
      <c r="T34" s="9">
        <f t="shared" si="2"/>
        <v>45807</v>
      </c>
      <c r="U34" s="5">
        <f t="shared" si="3"/>
        <v>10525.87</v>
      </c>
    </row>
    <row r="35" spans="2:21" x14ac:dyDescent="0.2">
      <c r="B35" s="181">
        <f t="shared" si="6"/>
        <v>18</v>
      </c>
      <c r="C35" s="162">
        <f t="shared" si="7"/>
        <v>45838</v>
      </c>
      <c r="D35" s="6">
        <f>IFERROR((PPMT(Input!$E$55/12,B35,$C$6,Input!$E$54,-Input!$E$65,0))," ")</f>
        <v>-3225.4449664250601</v>
      </c>
      <c r="E35" s="6">
        <f>IFERROR(((IPMT(Input!$E$55/12,B35,$C$6,Input!$E$54,-Input!$E$65,0)))," ")</f>
        <v>-7092.090035745041</v>
      </c>
      <c r="F35" s="6">
        <f t="shared" si="9"/>
        <v>-55860.346258415906</v>
      </c>
      <c r="G35" s="6">
        <f t="shared" si="8"/>
        <v>-129855.28378064593</v>
      </c>
      <c r="H35" s="6">
        <f t="shared" si="4"/>
        <v>-10317.535002170102</v>
      </c>
      <c r="I35" s="6">
        <f t="shared" si="5"/>
        <v>1544139.6537415842</v>
      </c>
      <c r="J35" s="6" t="str">
        <f>IF(B35&lt;&gt;"",IF(AND(Input!$H$54="Annual",MOD(B35,12)=0),Input!$J$54,IF(AND(Input!$H$54="1st Installment",B35=1),Input!$J$54,IF(Input!$H$54="Monthly",Input!$J$54,""))),"")</f>
        <v/>
      </c>
      <c r="K35" s="6" t="str">
        <f>IF(B35&lt;&gt;"",IF(AND(Input!$H$55="Annual",MOD(B35,12)=0),Input!$J$55,IF(AND(Input!$H$55="1st Installment",B35=1),Input!$J$55,IF(Input!$H$55="Monthly",Input!$J$55,""))),"")</f>
        <v/>
      </c>
      <c r="L35" s="6">
        <f>IF(B35&lt;&gt;"",IF(AND(Input!$H$56="Annual",MOD(B35,12)=0),Input!$J$56,IF(AND(Input!$H$56="1st Installment",B35=1),Input!$J$56,IF(Input!$H$56="Monthly",Input!$J$56,""))),"")</f>
        <v>208.33333333333334</v>
      </c>
      <c r="M35" s="6" t="str">
        <f>IF(B35&lt;&gt;"",IF(AND(Input!$H$57="Annual",MOD(B35,12)=0),Input!$J$57,IF(AND(Input!$H$57="1st Installment",B35=1),Input!$J$57,IF(Input!$H$57="Monthly",Input!$J$57,""))),"")</f>
        <v/>
      </c>
      <c r="N35" s="6" t="str">
        <f>IF(B35&lt;&gt;"",IF(AND(Input!$H$58="Annual",MOD(B35,12)=0),Input!$J$58,IF(AND(Input!$H$58="1st Installment",B35=1),Input!$J$58,IF(Input!$H$58="Monthly",Input!$J$58,IF(AND(Input!$H$58="End of the loan",B35=Input!$E$58),Input!$J$58,"")))),"")</f>
        <v/>
      </c>
      <c r="O35" s="6">
        <f t="shared" si="0"/>
        <v>208.33333333333334</v>
      </c>
      <c r="P35" s="4">
        <f t="shared" si="1"/>
        <v>10525.868335503435</v>
      </c>
      <c r="T35" s="9">
        <f t="shared" si="2"/>
        <v>45838</v>
      </c>
      <c r="U35" s="5">
        <f t="shared" si="3"/>
        <v>10525.87</v>
      </c>
    </row>
    <row r="36" spans="2:21" x14ac:dyDescent="0.2">
      <c r="B36" s="181">
        <f t="shared" si="6"/>
        <v>19</v>
      </c>
      <c r="C36" s="162">
        <f t="shared" si="7"/>
        <v>45868</v>
      </c>
      <c r="D36" s="6">
        <f>IFERROR((PPMT(Input!$E$55/12,B36,$C$6,Input!$E$54,-Input!$E$65,0))," ")</f>
        <v>-3240.2282558545089</v>
      </c>
      <c r="E36" s="6">
        <f>IFERROR(((IPMT(Input!$E$55/12,B36,$C$6,Input!$E$54,-Input!$E$65,0)))," ")</f>
        <v>-7077.3067463155921</v>
      </c>
      <c r="F36" s="6">
        <f t="shared" si="9"/>
        <v>-59100.574514270418</v>
      </c>
      <c r="G36" s="6">
        <f t="shared" si="8"/>
        <v>-136932.59052696152</v>
      </c>
      <c r="H36" s="6">
        <f t="shared" si="4"/>
        <v>-10317.535002170102</v>
      </c>
      <c r="I36" s="6">
        <f t="shared" si="5"/>
        <v>1540899.4254857295</v>
      </c>
      <c r="J36" s="6" t="str">
        <f>IF(B36&lt;&gt;"",IF(AND(Input!$H$54="Annual",MOD(B36,12)=0),Input!$J$54,IF(AND(Input!$H$54="1st Installment",B36=1),Input!$J$54,IF(Input!$H$54="Monthly",Input!$J$54,""))),"")</f>
        <v/>
      </c>
      <c r="K36" s="6" t="str">
        <f>IF(B36&lt;&gt;"",IF(AND(Input!$H$55="Annual",MOD(B36,12)=0),Input!$J$55,IF(AND(Input!$H$55="1st Installment",B36=1),Input!$J$55,IF(Input!$H$55="Monthly",Input!$J$55,""))),"")</f>
        <v/>
      </c>
      <c r="L36" s="6">
        <f>IF(B36&lt;&gt;"",IF(AND(Input!$H$56="Annual",MOD(B36,12)=0),Input!$J$56,IF(AND(Input!$H$56="1st Installment",B36=1),Input!$J$56,IF(Input!$H$56="Monthly",Input!$J$56,""))),"")</f>
        <v>208.33333333333334</v>
      </c>
      <c r="M36" s="6" t="str">
        <f>IF(B36&lt;&gt;"",IF(AND(Input!$H$57="Annual",MOD(B36,12)=0),Input!$J$57,IF(AND(Input!$H$57="1st Installment",B36=1),Input!$J$57,IF(Input!$H$57="Monthly",Input!$J$57,""))),"")</f>
        <v/>
      </c>
      <c r="N36" s="6" t="str">
        <f>IF(B36&lt;&gt;"",IF(AND(Input!$H$58="Annual",MOD(B36,12)=0),Input!$J$58,IF(AND(Input!$H$58="1st Installment",B36=1),Input!$J$58,IF(Input!$H$58="Monthly",Input!$J$58,IF(AND(Input!$H$58="End of the loan",B36=Input!$E$58),Input!$J$58,"")))),"")</f>
        <v/>
      </c>
      <c r="O36" s="6">
        <f t="shared" si="0"/>
        <v>208.33333333333334</v>
      </c>
      <c r="P36" s="4">
        <f t="shared" si="1"/>
        <v>10525.868335503435</v>
      </c>
      <c r="T36" s="9">
        <f t="shared" si="2"/>
        <v>45868</v>
      </c>
      <c r="U36" s="5">
        <f t="shared" si="3"/>
        <v>10525.87</v>
      </c>
    </row>
    <row r="37" spans="2:21" x14ac:dyDescent="0.2">
      <c r="B37" s="181">
        <f t="shared" si="6"/>
        <v>20</v>
      </c>
      <c r="C37" s="162">
        <f t="shared" si="7"/>
        <v>45899</v>
      </c>
      <c r="D37" s="6">
        <f>IFERROR((PPMT(Input!$E$55/12,B37,$C$6,Input!$E$54,-Input!$E$65,0))," ")</f>
        <v>-3255.0793020271749</v>
      </c>
      <c r="E37" s="6">
        <f>IFERROR(((IPMT(Input!$E$55/12,B37,$C$6,Input!$E$54,-Input!$E$65,0)))," ")</f>
        <v>-7062.4557001429266</v>
      </c>
      <c r="F37" s="6">
        <f t="shared" si="9"/>
        <v>-62355.653816297592</v>
      </c>
      <c r="G37" s="6">
        <f t="shared" si="8"/>
        <v>-143995.04622710444</v>
      </c>
      <c r="H37" s="6">
        <f t="shared" si="4"/>
        <v>-10317.535002170102</v>
      </c>
      <c r="I37" s="6">
        <f t="shared" si="5"/>
        <v>1537644.3461837023</v>
      </c>
      <c r="J37" s="6" t="str">
        <f>IF(B37&lt;&gt;"",IF(AND(Input!$H$54="Annual",MOD(B37,12)=0),Input!$J$54,IF(AND(Input!$H$54="1st Installment",B37=1),Input!$J$54,IF(Input!$H$54="Monthly",Input!$J$54,""))),"")</f>
        <v/>
      </c>
      <c r="K37" s="6" t="str">
        <f>IF(B37&lt;&gt;"",IF(AND(Input!$H$55="Annual",MOD(B37,12)=0),Input!$J$55,IF(AND(Input!$H$55="1st Installment",B37=1),Input!$J$55,IF(Input!$H$55="Monthly",Input!$J$55,""))),"")</f>
        <v/>
      </c>
      <c r="L37" s="6">
        <f>IF(B37&lt;&gt;"",IF(AND(Input!$H$56="Annual",MOD(B37,12)=0),Input!$J$56,IF(AND(Input!$H$56="1st Installment",B37=1),Input!$J$56,IF(Input!$H$56="Monthly",Input!$J$56,""))),"")</f>
        <v>208.33333333333334</v>
      </c>
      <c r="M37" s="6" t="str">
        <f>IF(B37&lt;&gt;"",IF(AND(Input!$H$57="Annual",MOD(B37,12)=0),Input!$J$57,IF(AND(Input!$H$57="1st Installment",B37=1),Input!$J$57,IF(Input!$H$57="Monthly",Input!$J$57,""))),"")</f>
        <v/>
      </c>
      <c r="N37" s="6" t="str">
        <f>IF(B37&lt;&gt;"",IF(AND(Input!$H$58="Annual",MOD(B37,12)=0),Input!$J$58,IF(AND(Input!$H$58="1st Installment",B37=1),Input!$J$58,IF(Input!$H$58="Monthly",Input!$J$58,IF(AND(Input!$H$58="End of the loan",B37=Input!$E$58),Input!$J$58,"")))),"")</f>
        <v/>
      </c>
      <c r="O37" s="6">
        <f t="shared" si="0"/>
        <v>208.33333333333334</v>
      </c>
      <c r="P37" s="4">
        <f t="shared" si="1"/>
        <v>10525.868335503435</v>
      </c>
      <c r="T37" s="9">
        <f t="shared" si="2"/>
        <v>45899</v>
      </c>
      <c r="U37" s="5">
        <f t="shared" si="3"/>
        <v>10525.87</v>
      </c>
    </row>
    <row r="38" spans="2:21" x14ac:dyDescent="0.2">
      <c r="B38" s="181">
        <f t="shared" si="6"/>
        <v>21</v>
      </c>
      <c r="C38" s="162">
        <f t="shared" si="7"/>
        <v>45930</v>
      </c>
      <c r="D38" s="6">
        <f>IFERROR((PPMT(Input!$E$55/12,B38,$C$6,Input!$E$54,-Input!$E$65,0))," ")</f>
        <v>-3269.9984154948002</v>
      </c>
      <c r="E38" s="6">
        <f>IFERROR(((IPMT(Input!$E$55/12,B38,$C$6,Input!$E$54,-Input!$E$65,0)))," ")</f>
        <v>-7047.5365866753018</v>
      </c>
      <c r="F38" s="6">
        <f t="shared" si="9"/>
        <v>-65625.652231792395</v>
      </c>
      <c r="G38" s="6">
        <f t="shared" si="8"/>
        <v>-151042.58281377974</v>
      </c>
      <c r="H38" s="6">
        <f t="shared" si="4"/>
        <v>-10317.535002170102</v>
      </c>
      <c r="I38" s="6">
        <f t="shared" si="5"/>
        <v>1534374.3477682075</v>
      </c>
      <c r="J38" s="6" t="str">
        <f>IF(B38&lt;&gt;"",IF(AND(Input!$H$54="Annual",MOD(B38,12)=0),Input!$J$54,IF(AND(Input!$H$54="1st Installment",B38=1),Input!$J$54,IF(Input!$H$54="Monthly",Input!$J$54,""))),"")</f>
        <v/>
      </c>
      <c r="K38" s="6" t="str">
        <f>IF(B38&lt;&gt;"",IF(AND(Input!$H$55="Annual",MOD(B38,12)=0),Input!$J$55,IF(AND(Input!$H$55="1st Installment",B38=1),Input!$J$55,IF(Input!$H$55="Monthly",Input!$J$55,""))),"")</f>
        <v/>
      </c>
      <c r="L38" s="6">
        <f>IF(B38&lt;&gt;"",IF(AND(Input!$H$56="Annual",MOD(B38,12)=0),Input!$J$56,IF(AND(Input!$H$56="1st Installment",B38=1),Input!$J$56,IF(Input!$H$56="Monthly",Input!$J$56,""))),"")</f>
        <v>208.33333333333334</v>
      </c>
      <c r="M38" s="6" t="str">
        <f>IF(B38&lt;&gt;"",IF(AND(Input!$H$57="Annual",MOD(B38,12)=0),Input!$J$57,IF(AND(Input!$H$57="1st Installment",B38=1),Input!$J$57,IF(Input!$H$57="Monthly",Input!$J$57,""))),"")</f>
        <v/>
      </c>
      <c r="N38" s="6" t="str">
        <f>IF(B38&lt;&gt;"",IF(AND(Input!$H$58="Annual",MOD(B38,12)=0),Input!$J$58,IF(AND(Input!$H$58="1st Installment",B38=1),Input!$J$58,IF(Input!$H$58="Monthly",Input!$J$58,IF(AND(Input!$H$58="End of the loan",B38=Input!$E$58),Input!$J$58,"")))),"")</f>
        <v/>
      </c>
      <c r="O38" s="6">
        <f t="shared" si="0"/>
        <v>208.33333333333334</v>
      </c>
      <c r="P38" s="4">
        <f t="shared" si="1"/>
        <v>10525.868335503435</v>
      </c>
      <c r="T38" s="9">
        <f t="shared" si="2"/>
        <v>45930</v>
      </c>
      <c r="U38" s="5">
        <f t="shared" si="3"/>
        <v>10525.87</v>
      </c>
    </row>
    <row r="39" spans="2:21" x14ac:dyDescent="0.2">
      <c r="B39" s="181">
        <f t="shared" si="6"/>
        <v>22</v>
      </c>
      <c r="C39" s="162">
        <f t="shared" si="7"/>
        <v>45960</v>
      </c>
      <c r="D39" s="6">
        <f>IFERROR((PPMT(Input!$E$55/12,B39,$C$6,Input!$E$54,-Input!$E$65,0))," ")</f>
        <v>-3284.9859082324842</v>
      </c>
      <c r="E39" s="6">
        <f>IFERROR(((IPMT(Input!$E$55/12,B39,$C$6,Input!$E$54,-Input!$E$65,0)))," ")</f>
        <v>-7032.5490939376177</v>
      </c>
      <c r="F39" s="6">
        <f t="shared" si="9"/>
        <v>-68910.638140024879</v>
      </c>
      <c r="G39" s="6">
        <f t="shared" si="8"/>
        <v>-158075.13190771735</v>
      </c>
      <c r="H39" s="6">
        <f t="shared" si="4"/>
        <v>-10317.535002170102</v>
      </c>
      <c r="I39" s="6">
        <f t="shared" si="5"/>
        <v>1531089.3618599751</v>
      </c>
      <c r="J39" s="6" t="str">
        <f>IF(B39&lt;&gt;"",IF(AND(Input!$H$54="Annual",MOD(B39,12)=0),Input!$J$54,IF(AND(Input!$H$54="1st Installment",B39=1),Input!$J$54,IF(Input!$H$54="Monthly",Input!$J$54,""))),"")</f>
        <v/>
      </c>
      <c r="K39" s="6" t="str">
        <f>IF(B39&lt;&gt;"",IF(AND(Input!$H$55="Annual",MOD(B39,12)=0),Input!$J$55,IF(AND(Input!$H$55="1st Installment",B39=1),Input!$J$55,IF(Input!$H$55="Monthly",Input!$J$55,""))),"")</f>
        <v/>
      </c>
      <c r="L39" s="6">
        <f>IF(B39&lt;&gt;"",IF(AND(Input!$H$56="Annual",MOD(B39,12)=0),Input!$J$56,IF(AND(Input!$H$56="1st Installment",B39=1),Input!$J$56,IF(Input!$H$56="Monthly",Input!$J$56,""))),"")</f>
        <v>208.33333333333334</v>
      </c>
      <c r="M39" s="6" t="str">
        <f>IF(B39&lt;&gt;"",IF(AND(Input!$H$57="Annual",MOD(B39,12)=0),Input!$J$57,IF(AND(Input!$H$57="1st Installment",B39=1),Input!$J$57,IF(Input!$H$57="Monthly",Input!$J$57,""))),"")</f>
        <v/>
      </c>
      <c r="N39" s="6" t="str">
        <f>IF(B39&lt;&gt;"",IF(AND(Input!$H$58="Annual",MOD(B39,12)=0),Input!$J$58,IF(AND(Input!$H$58="1st Installment",B39=1),Input!$J$58,IF(Input!$H$58="Monthly",Input!$J$58,IF(AND(Input!$H$58="End of the loan",B39=Input!$E$58),Input!$J$58,"")))),"")</f>
        <v/>
      </c>
      <c r="O39" s="6">
        <f t="shared" si="0"/>
        <v>208.33333333333334</v>
      </c>
      <c r="P39" s="4">
        <f t="shared" si="1"/>
        <v>10525.868335503435</v>
      </c>
      <c r="T39" s="9">
        <f t="shared" si="2"/>
        <v>45960</v>
      </c>
      <c r="U39" s="5">
        <f t="shared" si="3"/>
        <v>10525.87</v>
      </c>
    </row>
    <row r="40" spans="2:21" x14ac:dyDescent="0.2">
      <c r="B40" s="181">
        <f t="shared" si="6"/>
        <v>23</v>
      </c>
      <c r="C40" s="162">
        <f t="shared" si="7"/>
        <v>45991</v>
      </c>
      <c r="D40" s="6">
        <f>IFERROR((PPMT(Input!$E$55/12,B40,$C$6,Input!$E$54,-Input!$E$65,0))," ")</f>
        <v>-3300.0420936452169</v>
      </c>
      <c r="E40" s="6">
        <f>IFERROR(((IPMT(Input!$E$55/12,B40,$C$6,Input!$E$54,-Input!$E$65,0)))," ")</f>
        <v>-7017.4929085248859</v>
      </c>
      <c r="F40" s="6">
        <f t="shared" si="9"/>
        <v>-72210.680233670093</v>
      </c>
      <c r="G40" s="6">
        <f t="shared" si="8"/>
        <v>-165092.62481624223</v>
      </c>
      <c r="H40" s="6">
        <f t="shared" si="4"/>
        <v>-10317.535002170103</v>
      </c>
      <c r="I40" s="6">
        <f t="shared" si="5"/>
        <v>1527789.3197663298</v>
      </c>
      <c r="J40" s="6" t="str">
        <f>IF(B40&lt;&gt;"",IF(AND(Input!$H$54="Annual",MOD(B40,12)=0),Input!$J$54,IF(AND(Input!$H$54="1st Installment",B40=1),Input!$J$54,IF(Input!$H$54="Monthly",Input!$J$54,""))),"")</f>
        <v/>
      </c>
      <c r="K40" s="6" t="str">
        <f>IF(B40&lt;&gt;"",IF(AND(Input!$H$55="Annual",MOD(B40,12)=0),Input!$J$55,IF(AND(Input!$H$55="1st Installment",B40=1),Input!$J$55,IF(Input!$H$55="Monthly",Input!$J$55,""))),"")</f>
        <v/>
      </c>
      <c r="L40" s="6">
        <f>IF(B40&lt;&gt;"",IF(AND(Input!$H$56="Annual",MOD(B40,12)=0),Input!$J$56,IF(AND(Input!$H$56="1st Installment",B40=1),Input!$J$56,IF(Input!$H$56="Monthly",Input!$J$56,""))),"")</f>
        <v>208.33333333333334</v>
      </c>
      <c r="M40" s="6" t="str">
        <f>IF(B40&lt;&gt;"",IF(AND(Input!$H$57="Annual",MOD(B40,12)=0),Input!$J$57,IF(AND(Input!$H$57="1st Installment",B40=1),Input!$J$57,IF(Input!$H$57="Monthly",Input!$J$57,""))),"")</f>
        <v/>
      </c>
      <c r="N40" s="6" t="str">
        <f>IF(B40&lt;&gt;"",IF(AND(Input!$H$58="Annual",MOD(B40,12)=0),Input!$J$58,IF(AND(Input!$H$58="1st Installment",B40=1),Input!$J$58,IF(Input!$H$58="Monthly",Input!$J$58,IF(AND(Input!$H$58="End of the loan",B40=Input!$E$58),Input!$J$58,"")))),"")</f>
        <v/>
      </c>
      <c r="O40" s="6">
        <f t="shared" si="0"/>
        <v>208.33333333333334</v>
      </c>
      <c r="P40" s="4">
        <f t="shared" si="1"/>
        <v>10525.868335503437</v>
      </c>
      <c r="T40" s="9">
        <f t="shared" si="2"/>
        <v>45991</v>
      </c>
      <c r="U40" s="5">
        <f t="shared" si="3"/>
        <v>10525.87</v>
      </c>
    </row>
    <row r="41" spans="2:21" x14ac:dyDescent="0.2">
      <c r="B41" s="181">
        <f t="shared" si="6"/>
        <v>24</v>
      </c>
      <c r="C41" s="162">
        <f t="shared" si="7"/>
        <v>46021</v>
      </c>
      <c r="D41" s="6">
        <f>IFERROR((PPMT(Input!$E$55/12,B41,$C$6,Input!$E$54,-Input!$E$65,0))," ")</f>
        <v>-3315.1672865744235</v>
      </c>
      <c r="E41" s="6">
        <f>IFERROR(((IPMT(Input!$E$55/12,B41,$C$6,Input!$E$54,-Input!$E$65,0)))," ")</f>
        <v>-7002.3677155956775</v>
      </c>
      <c r="F41" s="6">
        <f t="shared" si="9"/>
        <v>-75525.847520244512</v>
      </c>
      <c r="G41" s="6">
        <f t="shared" si="8"/>
        <v>-172094.9925318379</v>
      </c>
      <c r="H41" s="6">
        <f t="shared" si="4"/>
        <v>-10317.535002170102</v>
      </c>
      <c r="I41" s="6">
        <f t="shared" si="5"/>
        <v>1524474.1524797555</v>
      </c>
      <c r="J41" s="6" t="str">
        <f>IF(B41&lt;&gt;"",IF(AND(Input!$H$54="Annual",MOD(B41,12)=0),Input!$J$54,IF(AND(Input!$H$54="1st Installment",B41=1),Input!$J$54,IF(Input!$H$54="Monthly",Input!$J$54,""))),"")</f>
        <v/>
      </c>
      <c r="K41" s="6">
        <f>IF(B41&lt;&gt;"",IF(AND(Input!$H$55="Annual",MOD(B41,12)=0),Input!$J$55,IF(AND(Input!$H$55="1st Installment",B41=1),Input!$J$55,IF(Input!$H$55="Monthly",Input!$J$55,""))),"")</f>
        <v>0</v>
      </c>
      <c r="L41" s="6">
        <f>IF(B41&lt;&gt;"",IF(AND(Input!$H$56="Annual",MOD(B41,12)=0),Input!$J$56,IF(AND(Input!$H$56="1st Installment",B41=1),Input!$J$56,IF(Input!$H$56="Monthly",Input!$J$56,""))),"")</f>
        <v>208.33333333333334</v>
      </c>
      <c r="M41" s="6" t="str">
        <f>IF(B41&lt;&gt;"",IF(AND(Input!$H$57="Annual",MOD(B41,12)=0),Input!$J$57,IF(AND(Input!$H$57="1st Installment",B41=1),Input!$J$57,IF(Input!$H$57="Monthly",Input!$J$57,""))),"")</f>
        <v/>
      </c>
      <c r="N41" s="6">
        <f>IF(B41&lt;&gt;"",IF(AND(Input!$H$58="Annual",MOD(B41,12)=0),Input!$J$58,IF(AND(Input!$H$58="1st Installment",B41=1),Input!$J$58,IF(Input!$H$58="Monthly",Input!$J$58,IF(AND(Input!$H$58="End of the loan",B41=Input!$E$58),Input!$J$58,"")))),"")</f>
        <v>0</v>
      </c>
      <c r="O41" s="6">
        <f t="shared" si="0"/>
        <v>208.33333333333334</v>
      </c>
      <c r="P41" s="4">
        <f t="shared" si="1"/>
        <v>10525.868335503435</v>
      </c>
      <c r="T41" s="9">
        <f t="shared" si="2"/>
        <v>46021</v>
      </c>
      <c r="U41" s="5">
        <f t="shared" si="3"/>
        <v>10525.87</v>
      </c>
    </row>
    <row r="42" spans="2:21" x14ac:dyDescent="0.2">
      <c r="B42" s="181">
        <f t="shared" si="6"/>
        <v>25</v>
      </c>
      <c r="C42" s="162">
        <f t="shared" si="7"/>
        <v>46052</v>
      </c>
      <c r="D42" s="6">
        <f>IFERROR((PPMT(Input!$E$55/12,B42,$C$6,Input!$E$54,-Input!$E$65,0))," ")</f>
        <v>-3330.3618033045568</v>
      </c>
      <c r="E42" s="6">
        <f>IFERROR(((IPMT(Input!$E$55/12,B42,$C$6,Input!$E$54,-Input!$E$65,0)))," ")</f>
        <v>-6987.1731988655447</v>
      </c>
      <c r="F42" s="6">
        <f t="shared" si="9"/>
        <v>-78856.209323549061</v>
      </c>
      <c r="G42" s="6">
        <f t="shared" si="8"/>
        <v>-179082.16573070345</v>
      </c>
      <c r="H42" s="6">
        <f t="shared" si="4"/>
        <v>-10317.535002170102</v>
      </c>
      <c r="I42" s="6">
        <f t="shared" si="5"/>
        <v>1521143.7906764508</v>
      </c>
      <c r="J42" s="6" t="str">
        <f>IF(B42&lt;&gt;"",IF(AND(Input!$H$54="Annual",MOD(B42,12)=0),Input!$J$54,IF(AND(Input!$H$54="1st Installment",B42=1),Input!$J$54,IF(Input!$H$54="Monthly",Input!$J$54,""))),"")</f>
        <v/>
      </c>
      <c r="K42" s="6" t="str">
        <f>IF(B42&lt;&gt;"",IF(AND(Input!$H$55="Annual",MOD(B42,12)=0),Input!$J$55,IF(AND(Input!$H$55="1st Installment",B42=1),Input!$J$55,IF(Input!$H$55="Monthly",Input!$J$55,""))),"")</f>
        <v/>
      </c>
      <c r="L42" s="6">
        <f>IF(B42&lt;&gt;"",IF(AND(Input!$H$56="Annual",MOD(B42,12)=0),Input!$J$56,IF(AND(Input!$H$56="1st Installment",B42=1),Input!$J$56,IF(Input!$H$56="Monthly",Input!$J$56,""))),"")</f>
        <v>208.33333333333334</v>
      </c>
      <c r="M42" s="6" t="str">
        <f>IF(B42&lt;&gt;"",IF(AND(Input!$H$57="Annual",MOD(B42,12)=0),Input!$J$57,IF(AND(Input!$H$57="1st Installment",B42=1),Input!$J$57,IF(Input!$H$57="Monthly",Input!$J$57,""))),"")</f>
        <v/>
      </c>
      <c r="N42" s="6" t="str">
        <f>IF(B42&lt;&gt;"",IF(AND(Input!$H$58="Annual",MOD(B42,12)=0),Input!$J$58,IF(AND(Input!$H$58="1st Installment",B42=1),Input!$J$58,IF(Input!$H$58="Monthly",Input!$J$58,IF(AND(Input!$H$58="End of the loan",B42=Input!$E$58),Input!$J$58,"")))),"")</f>
        <v/>
      </c>
      <c r="O42" s="6">
        <f t="shared" si="0"/>
        <v>208.33333333333334</v>
      </c>
      <c r="P42" s="4">
        <f t="shared" si="1"/>
        <v>10525.868335503435</v>
      </c>
      <c r="T42" s="9">
        <f t="shared" si="2"/>
        <v>46052</v>
      </c>
      <c r="U42" s="5">
        <f t="shared" si="3"/>
        <v>10525.87</v>
      </c>
    </row>
    <row r="43" spans="2:21" x14ac:dyDescent="0.2">
      <c r="B43" s="181">
        <f t="shared" si="6"/>
        <v>26</v>
      </c>
      <c r="C43" s="162">
        <f t="shared" si="7"/>
        <v>46081</v>
      </c>
      <c r="D43" s="6">
        <f>IFERROR((PPMT(Input!$E$55/12,B43,$C$6,Input!$E$54,-Input!$E$65,0))," ")</f>
        <v>-3345.6259615697022</v>
      </c>
      <c r="E43" s="6">
        <f>IFERROR(((IPMT(Input!$E$55/12,B43,$C$6,Input!$E$54,-Input!$E$65,0)))," ")</f>
        <v>-6971.9090406003997</v>
      </c>
      <c r="F43" s="6">
        <f t="shared" si="9"/>
        <v>-82201.835285118766</v>
      </c>
      <c r="G43" s="6">
        <f t="shared" si="8"/>
        <v>-186054.07477130386</v>
      </c>
      <c r="H43" s="6">
        <f t="shared" si="4"/>
        <v>-10317.535002170102</v>
      </c>
      <c r="I43" s="6">
        <f t="shared" si="5"/>
        <v>1517798.1647148812</v>
      </c>
      <c r="J43" s="6" t="str">
        <f>IF(B43&lt;&gt;"",IF(AND(Input!$H$54="Annual",MOD(B43,12)=0),Input!$J$54,IF(AND(Input!$H$54="1st Installment",B43=1),Input!$J$54,IF(Input!$H$54="Monthly",Input!$J$54,""))),"")</f>
        <v/>
      </c>
      <c r="K43" s="6" t="str">
        <f>IF(B43&lt;&gt;"",IF(AND(Input!$H$55="Annual",MOD(B43,12)=0),Input!$J$55,IF(AND(Input!$H$55="1st Installment",B43=1),Input!$J$55,IF(Input!$H$55="Monthly",Input!$J$55,""))),"")</f>
        <v/>
      </c>
      <c r="L43" s="6">
        <f>IF(B43&lt;&gt;"",IF(AND(Input!$H$56="Annual",MOD(B43,12)=0),Input!$J$56,IF(AND(Input!$H$56="1st Installment",B43=1),Input!$J$56,IF(Input!$H$56="Monthly",Input!$J$56,""))),"")</f>
        <v>208.33333333333334</v>
      </c>
      <c r="M43" s="6" t="str">
        <f>IF(B43&lt;&gt;"",IF(AND(Input!$H$57="Annual",MOD(B43,12)=0),Input!$J$57,IF(AND(Input!$H$57="1st Installment",B43=1),Input!$J$57,IF(Input!$H$57="Monthly",Input!$J$57,""))),"")</f>
        <v/>
      </c>
      <c r="N43" s="6" t="str">
        <f>IF(B43&lt;&gt;"",IF(AND(Input!$H$58="Annual",MOD(B43,12)=0),Input!$J$58,IF(AND(Input!$H$58="1st Installment",B43=1),Input!$J$58,IF(Input!$H$58="Monthly",Input!$J$58,IF(AND(Input!$H$58="End of the loan",B43=Input!$E$58),Input!$J$58,"")))),"")</f>
        <v/>
      </c>
      <c r="O43" s="6">
        <f t="shared" si="0"/>
        <v>208.33333333333334</v>
      </c>
      <c r="P43" s="4">
        <f t="shared" si="1"/>
        <v>10525.868335503435</v>
      </c>
      <c r="T43" s="9">
        <f t="shared" si="2"/>
        <v>46081</v>
      </c>
      <c r="U43" s="5">
        <f t="shared" si="3"/>
        <v>10525.87</v>
      </c>
    </row>
    <row r="44" spans="2:21" x14ac:dyDescent="0.2">
      <c r="B44" s="181">
        <f t="shared" si="6"/>
        <v>27</v>
      </c>
      <c r="C44" s="162">
        <f t="shared" si="7"/>
        <v>46111</v>
      </c>
      <c r="D44" s="6">
        <f>IFERROR((PPMT(Input!$E$55/12,B44,$C$6,Input!$E$54,-Input!$E$65,0))," ")</f>
        <v>-3360.9600805602299</v>
      </c>
      <c r="E44" s="6">
        <f>IFERROR(((IPMT(Input!$E$55/12,B44,$C$6,Input!$E$54,-Input!$E$65,0)))," ")</f>
        <v>-6956.5749216098711</v>
      </c>
      <c r="F44" s="6">
        <f t="shared" si="9"/>
        <v>-85562.79536567899</v>
      </c>
      <c r="G44" s="6">
        <f t="shared" si="8"/>
        <v>-193010.64969291372</v>
      </c>
      <c r="H44" s="6">
        <f t="shared" si="4"/>
        <v>-10317.535002170102</v>
      </c>
      <c r="I44" s="6">
        <f t="shared" si="5"/>
        <v>1514437.2046343209</v>
      </c>
      <c r="J44" s="6" t="str">
        <f>IF(B44&lt;&gt;"",IF(AND(Input!$H$54="Annual",MOD(B44,12)=0),Input!$J$54,IF(AND(Input!$H$54="1st Installment",B44=1),Input!$J$54,IF(Input!$H$54="Monthly",Input!$J$54,""))),"")</f>
        <v/>
      </c>
      <c r="K44" s="6" t="str">
        <f>IF(B44&lt;&gt;"",IF(AND(Input!$H$55="Annual",MOD(B44,12)=0),Input!$J$55,IF(AND(Input!$H$55="1st Installment",B44=1),Input!$J$55,IF(Input!$H$55="Monthly",Input!$J$55,""))),"")</f>
        <v/>
      </c>
      <c r="L44" s="6">
        <f>IF(B44&lt;&gt;"",IF(AND(Input!$H$56="Annual",MOD(B44,12)=0),Input!$J$56,IF(AND(Input!$H$56="1st Installment",B44=1),Input!$J$56,IF(Input!$H$56="Monthly",Input!$J$56,""))),"")</f>
        <v>208.33333333333334</v>
      </c>
      <c r="M44" s="6" t="str">
        <f>IF(B44&lt;&gt;"",IF(AND(Input!$H$57="Annual",MOD(B44,12)=0),Input!$J$57,IF(AND(Input!$H$57="1st Installment",B44=1),Input!$J$57,IF(Input!$H$57="Monthly",Input!$J$57,""))),"")</f>
        <v/>
      </c>
      <c r="N44" s="6" t="str">
        <f>IF(B44&lt;&gt;"",IF(AND(Input!$H$58="Annual",MOD(B44,12)=0),Input!$J$58,IF(AND(Input!$H$58="1st Installment",B44=1),Input!$J$58,IF(Input!$H$58="Monthly",Input!$J$58,IF(AND(Input!$H$58="End of the loan",B44=Input!$E$58),Input!$J$58,"")))),"")</f>
        <v/>
      </c>
      <c r="O44" s="6">
        <f t="shared" si="0"/>
        <v>208.33333333333334</v>
      </c>
      <c r="P44" s="4">
        <f t="shared" si="1"/>
        <v>10525.868335503435</v>
      </c>
      <c r="T44" s="9">
        <f t="shared" si="2"/>
        <v>46111</v>
      </c>
      <c r="U44" s="5">
        <f t="shared" si="3"/>
        <v>10525.87</v>
      </c>
    </row>
    <row r="45" spans="2:21" x14ac:dyDescent="0.2">
      <c r="B45" s="181">
        <f t="shared" si="6"/>
        <v>28</v>
      </c>
      <c r="C45" s="162">
        <f t="shared" si="7"/>
        <v>46142</v>
      </c>
      <c r="D45" s="6">
        <f>IFERROR((PPMT(Input!$E$55/12,B45,$C$6,Input!$E$54,-Input!$E$65,0))," ")</f>
        <v>-3376.3644809294642</v>
      </c>
      <c r="E45" s="6">
        <f>IFERROR(((IPMT(Input!$E$55/12,B45,$C$6,Input!$E$54,-Input!$E$65,0)))," ")</f>
        <v>-6941.1705212406368</v>
      </c>
      <c r="F45" s="6">
        <f t="shared" si="9"/>
        <v>-88939.159846608454</v>
      </c>
      <c r="G45" s="6">
        <f t="shared" si="8"/>
        <v>-199951.82021415434</v>
      </c>
      <c r="H45" s="6">
        <f t="shared" si="4"/>
        <v>-10317.535002170102</v>
      </c>
      <c r="I45" s="6">
        <f t="shared" si="5"/>
        <v>1511060.8401533915</v>
      </c>
      <c r="J45" s="6" t="str">
        <f>IF(B45&lt;&gt;"",IF(AND(Input!$H$54="Annual",MOD(B45,12)=0),Input!$J$54,IF(AND(Input!$H$54="1st Installment",B45=1),Input!$J$54,IF(Input!$H$54="Monthly",Input!$J$54,""))),"")</f>
        <v/>
      </c>
      <c r="K45" s="6" t="str">
        <f>IF(B45&lt;&gt;"",IF(AND(Input!$H$55="Annual",MOD(B45,12)=0),Input!$J$55,IF(AND(Input!$H$55="1st Installment",B45=1),Input!$J$55,IF(Input!$H$55="Monthly",Input!$J$55,""))),"")</f>
        <v/>
      </c>
      <c r="L45" s="6">
        <f>IF(B45&lt;&gt;"",IF(AND(Input!$H$56="Annual",MOD(B45,12)=0),Input!$J$56,IF(AND(Input!$H$56="1st Installment",B45=1),Input!$J$56,IF(Input!$H$56="Monthly",Input!$J$56,""))),"")</f>
        <v>208.33333333333334</v>
      </c>
      <c r="M45" s="6" t="str">
        <f>IF(B45&lt;&gt;"",IF(AND(Input!$H$57="Annual",MOD(B45,12)=0),Input!$J$57,IF(AND(Input!$H$57="1st Installment",B45=1),Input!$J$57,IF(Input!$H$57="Monthly",Input!$J$57,""))),"")</f>
        <v/>
      </c>
      <c r="N45" s="6" t="str">
        <f>IF(B45&lt;&gt;"",IF(AND(Input!$H$58="Annual",MOD(B45,12)=0),Input!$J$58,IF(AND(Input!$H$58="1st Installment",B45=1),Input!$J$58,IF(Input!$H$58="Monthly",Input!$J$58,IF(AND(Input!$H$58="End of the loan",B45=Input!$E$58),Input!$J$58,"")))),"")</f>
        <v/>
      </c>
      <c r="O45" s="6">
        <f t="shared" si="0"/>
        <v>208.33333333333334</v>
      </c>
      <c r="P45" s="4">
        <f t="shared" si="1"/>
        <v>10525.868335503435</v>
      </c>
      <c r="T45" s="9">
        <f t="shared" si="2"/>
        <v>46142</v>
      </c>
      <c r="U45" s="5">
        <f t="shared" si="3"/>
        <v>10525.87</v>
      </c>
    </row>
    <row r="46" spans="2:21" x14ac:dyDescent="0.2">
      <c r="B46" s="181">
        <f t="shared" si="6"/>
        <v>29</v>
      </c>
      <c r="C46" s="162">
        <f t="shared" si="7"/>
        <v>46172</v>
      </c>
      <c r="D46" s="6">
        <f>IFERROR((PPMT(Input!$E$55/12,B46,$C$6,Input!$E$54,-Input!$E$65,0))," ")</f>
        <v>-3391.8394848003909</v>
      </c>
      <c r="E46" s="6">
        <f>IFERROR(((IPMT(Input!$E$55/12,B46,$C$6,Input!$E$54,-Input!$E$65,0)))," ")</f>
        <v>-6925.6955173697097</v>
      </c>
      <c r="F46" s="6">
        <f t="shared" si="9"/>
        <v>-92330.99933140885</v>
      </c>
      <c r="G46" s="6">
        <f t="shared" si="8"/>
        <v>-206877.51573152406</v>
      </c>
      <c r="H46" s="6">
        <f t="shared" si="4"/>
        <v>-10317.535002170102</v>
      </c>
      <c r="I46" s="6">
        <f t="shared" si="5"/>
        <v>1507669.0006685911</v>
      </c>
      <c r="J46" s="6" t="str">
        <f>IF(B46&lt;&gt;"",IF(AND(Input!$H$54="Annual",MOD(B46,12)=0),Input!$J$54,IF(AND(Input!$H$54="1st Installment",B46=1),Input!$J$54,IF(Input!$H$54="Monthly",Input!$J$54,""))),"")</f>
        <v/>
      </c>
      <c r="K46" s="6" t="str">
        <f>IF(B46&lt;&gt;"",IF(AND(Input!$H$55="Annual",MOD(B46,12)=0),Input!$J$55,IF(AND(Input!$H$55="1st Installment",B46=1),Input!$J$55,IF(Input!$H$55="Monthly",Input!$J$55,""))),"")</f>
        <v/>
      </c>
      <c r="L46" s="6">
        <f>IF(B46&lt;&gt;"",IF(AND(Input!$H$56="Annual",MOD(B46,12)=0),Input!$J$56,IF(AND(Input!$H$56="1st Installment",B46=1),Input!$J$56,IF(Input!$H$56="Monthly",Input!$J$56,""))),"")</f>
        <v>208.33333333333334</v>
      </c>
      <c r="M46" s="6" t="str">
        <f>IF(B46&lt;&gt;"",IF(AND(Input!$H$57="Annual",MOD(B46,12)=0),Input!$J$57,IF(AND(Input!$H$57="1st Installment",B46=1),Input!$J$57,IF(Input!$H$57="Monthly",Input!$J$57,""))),"")</f>
        <v/>
      </c>
      <c r="N46" s="6" t="str">
        <f>IF(B46&lt;&gt;"",IF(AND(Input!$H$58="Annual",MOD(B46,12)=0),Input!$J$58,IF(AND(Input!$H$58="1st Installment",B46=1),Input!$J$58,IF(Input!$H$58="Monthly",Input!$J$58,IF(AND(Input!$H$58="End of the loan",B46=Input!$E$58),Input!$J$58,"")))),"")</f>
        <v/>
      </c>
      <c r="O46" s="6">
        <f t="shared" si="0"/>
        <v>208.33333333333334</v>
      </c>
      <c r="P46" s="4">
        <f t="shared" si="1"/>
        <v>10525.868335503435</v>
      </c>
      <c r="T46" s="9">
        <f t="shared" si="2"/>
        <v>46172</v>
      </c>
      <c r="U46" s="5">
        <f t="shared" si="3"/>
        <v>10525.87</v>
      </c>
    </row>
    <row r="47" spans="2:21" x14ac:dyDescent="0.2">
      <c r="B47" s="181">
        <f t="shared" si="6"/>
        <v>30</v>
      </c>
      <c r="C47" s="162">
        <f t="shared" si="7"/>
        <v>46203</v>
      </c>
      <c r="D47" s="6">
        <f>IFERROR((PPMT(Input!$E$55/12,B47,$C$6,Input!$E$54,-Input!$E$65,0))," ")</f>
        <v>-3407.3854157723931</v>
      </c>
      <c r="E47" s="6">
        <f>IFERROR(((IPMT(Input!$E$55/12,B47,$C$6,Input!$E$54,-Input!$E$65,0)))," ")</f>
        <v>-6910.1495863977079</v>
      </c>
      <c r="F47" s="6">
        <f t="shared" si="9"/>
        <v>-95738.384747181248</v>
      </c>
      <c r="G47" s="6">
        <f t="shared" si="8"/>
        <v>-213787.66531792178</v>
      </c>
      <c r="H47" s="6">
        <f t="shared" si="4"/>
        <v>-10317.535002170102</v>
      </c>
      <c r="I47" s="6">
        <f t="shared" si="5"/>
        <v>1504261.6152528187</v>
      </c>
      <c r="J47" s="6" t="str">
        <f>IF(B47&lt;&gt;"",IF(AND(Input!$H$54="Annual",MOD(B47,12)=0),Input!$J$54,IF(AND(Input!$H$54="1st Installment",B47=1),Input!$J$54,IF(Input!$H$54="Monthly",Input!$J$54,""))),"")</f>
        <v/>
      </c>
      <c r="K47" s="6" t="str">
        <f>IF(B47&lt;&gt;"",IF(AND(Input!$H$55="Annual",MOD(B47,12)=0),Input!$J$55,IF(AND(Input!$H$55="1st Installment",B47=1),Input!$J$55,IF(Input!$H$55="Monthly",Input!$J$55,""))),"")</f>
        <v/>
      </c>
      <c r="L47" s="6">
        <f>IF(B47&lt;&gt;"",IF(AND(Input!$H$56="Annual",MOD(B47,12)=0),Input!$J$56,IF(AND(Input!$H$56="1st Installment",B47=1),Input!$J$56,IF(Input!$H$56="Monthly",Input!$J$56,""))),"")</f>
        <v>208.33333333333334</v>
      </c>
      <c r="M47" s="6" t="str">
        <f>IF(B47&lt;&gt;"",IF(AND(Input!$H$57="Annual",MOD(B47,12)=0),Input!$J$57,IF(AND(Input!$H$57="1st Installment",B47=1),Input!$J$57,IF(Input!$H$57="Monthly",Input!$J$57,""))),"")</f>
        <v/>
      </c>
      <c r="N47" s="6" t="str">
        <f>IF(B47&lt;&gt;"",IF(AND(Input!$H$58="Annual",MOD(B47,12)=0),Input!$J$58,IF(AND(Input!$H$58="1st Installment",B47=1),Input!$J$58,IF(Input!$H$58="Monthly",Input!$J$58,IF(AND(Input!$H$58="End of the loan",B47=Input!$E$58),Input!$J$58,"")))),"")</f>
        <v/>
      </c>
      <c r="O47" s="6">
        <f t="shared" si="0"/>
        <v>208.33333333333334</v>
      </c>
      <c r="P47" s="4">
        <f t="shared" si="1"/>
        <v>10525.868335503435</v>
      </c>
      <c r="T47" s="9">
        <f t="shared" si="2"/>
        <v>46203</v>
      </c>
      <c r="U47" s="5">
        <f t="shared" si="3"/>
        <v>10525.87</v>
      </c>
    </row>
    <row r="48" spans="2:21" x14ac:dyDescent="0.2">
      <c r="B48" s="181">
        <f t="shared" si="6"/>
        <v>31</v>
      </c>
      <c r="C48" s="162">
        <f t="shared" si="7"/>
        <v>46233</v>
      </c>
      <c r="D48" s="6">
        <f>IFERROR((PPMT(Input!$E$55/12,B48,$C$6,Input!$E$54,-Input!$E$65,0))," ")</f>
        <v>-3423.0025989280161</v>
      </c>
      <c r="E48" s="6">
        <f>IFERROR(((IPMT(Input!$E$55/12,B48,$C$6,Input!$E$54,-Input!$E$65,0)))," ")</f>
        <v>-6894.5324032420849</v>
      </c>
      <c r="F48" s="6">
        <f t="shared" si="9"/>
        <v>-99161.387346109259</v>
      </c>
      <c r="G48" s="6">
        <f t="shared" si="8"/>
        <v>-220682.19772116386</v>
      </c>
      <c r="H48" s="6">
        <f t="shared" si="4"/>
        <v>-10317.535002170102</v>
      </c>
      <c r="I48" s="6">
        <f t="shared" si="5"/>
        <v>1500838.6126538906</v>
      </c>
      <c r="J48" s="6" t="str">
        <f>IF(B48&lt;&gt;"",IF(AND(Input!$H$54="Annual",MOD(B48,12)=0),Input!$J$54,IF(AND(Input!$H$54="1st Installment",B48=1),Input!$J$54,IF(Input!$H$54="Monthly",Input!$J$54,""))),"")</f>
        <v/>
      </c>
      <c r="K48" s="6" t="str">
        <f>IF(B48&lt;&gt;"",IF(AND(Input!$H$55="Annual",MOD(B48,12)=0),Input!$J$55,IF(AND(Input!$H$55="1st Installment",B48=1),Input!$J$55,IF(Input!$H$55="Monthly",Input!$J$55,""))),"")</f>
        <v/>
      </c>
      <c r="L48" s="6">
        <f>IF(B48&lt;&gt;"",IF(AND(Input!$H$56="Annual",MOD(B48,12)=0),Input!$J$56,IF(AND(Input!$H$56="1st Installment",B48=1),Input!$J$56,IF(Input!$H$56="Monthly",Input!$J$56,""))),"")</f>
        <v>208.33333333333334</v>
      </c>
      <c r="M48" s="6" t="str">
        <f>IF(B48&lt;&gt;"",IF(AND(Input!$H$57="Annual",MOD(B48,12)=0),Input!$J$57,IF(AND(Input!$H$57="1st Installment",B48=1),Input!$J$57,IF(Input!$H$57="Monthly",Input!$J$57,""))),"")</f>
        <v/>
      </c>
      <c r="N48" s="6" t="str">
        <f>IF(B48&lt;&gt;"",IF(AND(Input!$H$58="Annual",MOD(B48,12)=0),Input!$J$58,IF(AND(Input!$H$58="1st Installment",B48=1),Input!$J$58,IF(Input!$H$58="Monthly",Input!$J$58,IF(AND(Input!$H$58="End of the loan",B48=Input!$E$58),Input!$J$58,"")))),"")</f>
        <v/>
      </c>
      <c r="O48" s="6">
        <f t="shared" si="0"/>
        <v>208.33333333333334</v>
      </c>
      <c r="P48" s="4">
        <f t="shared" si="1"/>
        <v>10525.868335503435</v>
      </c>
      <c r="T48" s="9">
        <f t="shared" si="2"/>
        <v>46233</v>
      </c>
      <c r="U48" s="5">
        <f t="shared" si="3"/>
        <v>10525.87</v>
      </c>
    </row>
    <row r="49" spans="2:21" x14ac:dyDescent="0.2">
      <c r="B49" s="181">
        <f t="shared" si="6"/>
        <v>32</v>
      </c>
      <c r="C49" s="162">
        <f t="shared" si="7"/>
        <v>46264</v>
      </c>
      <c r="D49" s="6">
        <f>IFERROR((PPMT(Input!$E$55/12,B49,$C$6,Input!$E$54,-Input!$E$65,0))," ")</f>
        <v>-3438.6913608397699</v>
      </c>
      <c r="E49" s="6">
        <f>IFERROR(((IPMT(Input!$E$55/12,B49,$C$6,Input!$E$54,-Input!$E$65,0)))," ")</f>
        <v>-6878.8436413303307</v>
      </c>
      <c r="F49" s="6">
        <f t="shared" si="9"/>
        <v>-102600.07870694903</v>
      </c>
      <c r="G49" s="6">
        <f t="shared" si="8"/>
        <v>-227561.0413624942</v>
      </c>
      <c r="H49" s="6">
        <f t="shared" si="4"/>
        <v>-10317.535002170102</v>
      </c>
      <c r="I49" s="6">
        <f t="shared" si="5"/>
        <v>1497399.921293051</v>
      </c>
      <c r="J49" s="6" t="str">
        <f>IF(B49&lt;&gt;"",IF(AND(Input!$H$54="Annual",MOD(B49,12)=0),Input!$J$54,IF(AND(Input!$H$54="1st Installment",B49=1),Input!$J$54,IF(Input!$H$54="Monthly",Input!$J$54,""))),"")</f>
        <v/>
      </c>
      <c r="K49" s="6" t="str">
        <f>IF(B49&lt;&gt;"",IF(AND(Input!$H$55="Annual",MOD(B49,12)=0),Input!$J$55,IF(AND(Input!$H$55="1st Installment",B49=1),Input!$J$55,IF(Input!$H$55="Monthly",Input!$J$55,""))),"")</f>
        <v/>
      </c>
      <c r="L49" s="6">
        <f>IF(B49&lt;&gt;"",IF(AND(Input!$H$56="Annual",MOD(B49,12)=0),Input!$J$56,IF(AND(Input!$H$56="1st Installment",B49=1),Input!$J$56,IF(Input!$H$56="Monthly",Input!$J$56,""))),"")</f>
        <v>208.33333333333334</v>
      </c>
      <c r="M49" s="6" t="str">
        <f>IF(B49&lt;&gt;"",IF(AND(Input!$H$57="Annual",MOD(B49,12)=0),Input!$J$57,IF(AND(Input!$H$57="1st Installment",B49=1),Input!$J$57,IF(Input!$H$57="Monthly",Input!$J$57,""))),"")</f>
        <v/>
      </c>
      <c r="N49" s="6" t="str">
        <f>IF(B49&lt;&gt;"",IF(AND(Input!$H$58="Annual",MOD(B49,12)=0),Input!$J$58,IF(AND(Input!$H$58="1st Installment",B49=1),Input!$J$58,IF(Input!$H$58="Monthly",Input!$J$58,IF(AND(Input!$H$58="End of the loan",B49=Input!$E$58),Input!$J$58,"")))),"")</f>
        <v/>
      </c>
      <c r="O49" s="6">
        <f t="shared" si="0"/>
        <v>208.33333333333334</v>
      </c>
      <c r="P49" s="4">
        <f t="shared" si="1"/>
        <v>10525.868335503435</v>
      </c>
      <c r="T49" s="9">
        <f t="shared" si="2"/>
        <v>46264</v>
      </c>
      <c r="U49" s="5">
        <f t="shared" si="3"/>
        <v>10525.87</v>
      </c>
    </row>
    <row r="50" spans="2:21" x14ac:dyDescent="0.2">
      <c r="B50" s="181">
        <f t="shared" si="6"/>
        <v>33</v>
      </c>
      <c r="C50" s="162">
        <f t="shared" si="7"/>
        <v>46295</v>
      </c>
      <c r="D50" s="6">
        <f>IFERROR((PPMT(Input!$E$55/12,B50,$C$6,Input!$E$54,-Input!$E$65,0))," ")</f>
        <v>-3454.4520295769521</v>
      </c>
      <c r="E50" s="6">
        <f>IFERROR(((IPMT(Input!$E$55/12,B50,$C$6,Input!$E$54,-Input!$E$65,0)))," ")</f>
        <v>-6863.082972593149</v>
      </c>
      <c r="F50" s="6">
        <f t="shared" si="9"/>
        <v>-106054.53073652598</v>
      </c>
      <c r="G50" s="6">
        <f t="shared" si="8"/>
        <v>-234424.12433508734</v>
      </c>
      <c r="H50" s="6">
        <f t="shared" si="4"/>
        <v>-10317.535002170102</v>
      </c>
      <c r="I50" s="6">
        <f t="shared" si="5"/>
        <v>1493945.469263474</v>
      </c>
      <c r="J50" s="6" t="str">
        <f>IF(B50&lt;&gt;"",IF(AND(Input!$H$54="Annual",MOD(B50,12)=0),Input!$J$54,IF(AND(Input!$H$54="1st Installment",B50=1),Input!$J$54,IF(Input!$H$54="Monthly",Input!$J$54,""))),"")</f>
        <v/>
      </c>
      <c r="K50" s="6" t="str">
        <f>IF(B50&lt;&gt;"",IF(AND(Input!$H$55="Annual",MOD(B50,12)=0),Input!$J$55,IF(AND(Input!$H$55="1st Installment",B50=1),Input!$J$55,IF(Input!$H$55="Monthly",Input!$J$55,""))),"")</f>
        <v/>
      </c>
      <c r="L50" s="6">
        <f>IF(B50&lt;&gt;"",IF(AND(Input!$H$56="Annual",MOD(B50,12)=0),Input!$J$56,IF(AND(Input!$H$56="1st Installment",B50=1),Input!$J$56,IF(Input!$H$56="Monthly",Input!$J$56,""))),"")</f>
        <v>208.33333333333334</v>
      </c>
      <c r="M50" s="6" t="str">
        <f>IF(B50&lt;&gt;"",IF(AND(Input!$H$57="Annual",MOD(B50,12)=0),Input!$J$57,IF(AND(Input!$H$57="1st Installment",B50=1),Input!$J$57,IF(Input!$H$57="Monthly",Input!$J$57,""))),"")</f>
        <v/>
      </c>
      <c r="N50" s="6" t="str">
        <f>IF(B50&lt;&gt;"",IF(AND(Input!$H$58="Annual",MOD(B50,12)=0),Input!$J$58,IF(AND(Input!$H$58="1st Installment",B50=1),Input!$J$58,IF(Input!$H$58="Monthly",Input!$J$58,IF(AND(Input!$H$58="End of the loan",B50=Input!$E$58),Input!$J$58,"")))),"")</f>
        <v/>
      </c>
      <c r="O50" s="6">
        <f t="shared" si="0"/>
        <v>208.33333333333334</v>
      </c>
      <c r="P50" s="4">
        <f t="shared" si="1"/>
        <v>10525.868335503435</v>
      </c>
      <c r="T50" s="9">
        <f t="shared" si="2"/>
        <v>46295</v>
      </c>
      <c r="U50" s="5">
        <f t="shared" si="3"/>
        <v>10525.87</v>
      </c>
    </row>
    <row r="51" spans="2:21" x14ac:dyDescent="0.2">
      <c r="B51" s="181">
        <f t="shared" si="6"/>
        <v>34</v>
      </c>
      <c r="C51" s="162">
        <f t="shared" si="7"/>
        <v>46325</v>
      </c>
      <c r="D51" s="6">
        <f>IFERROR((PPMT(Input!$E$55/12,B51,$C$6,Input!$E$54,-Input!$E$65,0))," ")</f>
        <v>-3470.2849347125129</v>
      </c>
      <c r="E51" s="6">
        <f>IFERROR(((IPMT(Input!$E$55/12,B51,$C$6,Input!$E$54,-Input!$E$65,0)))," ")</f>
        <v>-6847.2500674575876</v>
      </c>
      <c r="F51" s="6">
        <f t="shared" si="9"/>
        <v>-109524.8156712385</v>
      </c>
      <c r="G51" s="6">
        <f t="shared" si="8"/>
        <v>-241271.37440254493</v>
      </c>
      <c r="H51" s="6">
        <f t="shared" si="4"/>
        <v>-10317.535002170102</v>
      </c>
      <c r="I51" s="6">
        <f t="shared" si="5"/>
        <v>1490475.1843287614</v>
      </c>
      <c r="J51" s="6" t="str">
        <f>IF(B51&lt;&gt;"",IF(AND(Input!$H$54="Annual",MOD(B51,12)=0),Input!$J$54,IF(AND(Input!$H$54="1st Installment",B51=1),Input!$J$54,IF(Input!$H$54="Monthly",Input!$J$54,""))),"")</f>
        <v/>
      </c>
      <c r="K51" s="6" t="str">
        <f>IF(B51&lt;&gt;"",IF(AND(Input!$H$55="Annual",MOD(B51,12)=0),Input!$J$55,IF(AND(Input!$H$55="1st Installment",B51=1),Input!$J$55,IF(Input!$H$55="Monthly",Input!$J$55,""))),"")</f>
        <v/>
      </c>
      <c r="L51" s="6">
        <f>IF(B51&lt;&gt;"",IF(AND(Input!$H$56="Annual",MOD(B51,12)=0),Input!$J$56,IF(AND(Input!$H$56="1st Installment",B51=1),Input!$J$56,IF(Input!$H$56="Monthly",Input!$J$56,""))),"")</f>
        <v>208.33333333333334</v>
      </c>
      <c r="M51" s="6" t="str">
        <f>IF(B51&lt;&gt;"",IF(AND(Input!$H$57="Annual",MOD(B51,12)=0),Input!$J$57,IF(AND(Input!$H$57="1st Installment",B51=1),Input!$J$57,IF(Input!$H$57="Monthly",Input!$J$57,""))),"")</f>
        <v/>
      </c>
      <c r="N51" s="6" t="str">
        <f>IF(B51&lt;&gt;"",IF(AND(Input!$H$58="Annual",MOD(B51,12)=0),Input!$J$58,IF(AND(Input!$H$58="1st Installment",B51=1),Input!$J$58,IF(Input!$H$58="Monthly",Input!$J$58,IF(AND(Input!$H$58="End of the loan",B51=Input!$E$58),Input!$J$58,"")))),"")</f>
        <v/>
      </c>
      <c r="O51" s="6">
        <f t="shared" si="0"/>
        <v>208.33333333333334</v>
      </c>
      <c r="P51" s="4">
        <f t="shared" si="1"/>
        <v>10525.868335503435</v>
      </c>
      <c r="T51" s="9">
        <f t="shared" si="2"/>
        <v>46325</v>
      </c>
      <c r="U51" s="5">
        <f t="shared" si="3"/>
        <v>10525.87</v>
      </c>
    </row>
    <row r="52" spans="2:21" x14ac:dyDescent="0.2">
      <c r="B52" s="181">
        <f t="shared" si="6"/>
        <v>35</v>
      </c>
      <c r="C52" s="162">
        <f t="shared" si="7"/>
        <v>46356</v>
      </c>
      <c r="D52" s="6">
        <f>IFERROR((PPMT(Input!$E$55/12,B52,$C$6,Input!$E$54,-Input!$E$65,0))," ")</f>
        <v>-3486.1904073299456</v>
      </c>
      <c r="E52" s="6">
        <f>IFERROR(((IPMT(Input!$E$55/12,B52,$C$6,Input!$E$54,-Input!$E$65,0)))," ")</f>
        <v>-6831.3445948401559</v>
      </c>
      <c r="F52" s="6">
        <f t="shared" si="9"/>
        <v>-113011.00607856845</v>
      </c>
      <c r="G52" s="6">
        <f t="shared" si="8"/>
        <v>-248102.71899738509</v>
      </c>
      <c r="H52" s="6">
        <f t="shared" si="4"/>
        <v>-10317.535002170102</v>
      </c>
      <c r="I52" s="6">
        <f t="shared" si="5"/>
        <v>1486988.9939214315</v>
      </c>
      <c r="J52" s="6" t="str">
        <f>IF(B52&lt;&gt;"",IF(AND(Input!$H$54="Annual",MOD(B52,12)=0),Input!$J$54,IF(AND(Input!$H$54="1st Installment",B52=1),Input!$J$54,IF(Input!$H$54="Monthly",Input!$J$54,""))),"")</f>
        <v/>
      </c>
      <c r="K52" s="6" t="str">
        <f>IF(B52&lt;&gt;"",IF(AND(Input!$H$55="Annual",MOD(B52,12)=0),Input!$J$55,IF(AND(Input!$H$55="1st Installment",B52=1),Input!$J$55,IF(Input!$H$55="Monthly",Input!$J$55,""))),"")</f>
        <v/>
      </c>
      <c r="L52" s="6">
        <f>IF(B52&lt;&gt;"",IF(AND(Input!$H$56="Annual",MOD(B52,12)=0),Input!$J$56,IF(AND(Input!$H$56="1st Installment",B52=1),Input!$J$56,IF(Input!$H$56="Monthly",Input!$J$56,""))),"")</f>
        <v>208.33333333333334</v>
      </c>
      <c r="M52" s="6" t="str">
        <f>IF(B52&lt;&gt;"",IF(AND(Input!$H$57="Annual",MOD(B52,12)=0),Input!$J$57,IF(AND(Input!$H$57="1st Installment",B52=1),Input!$J$57,IF(Input!$H$57="Monthly",Input!$J$57,""))),"")</f>
        <v/>
      </c>
      <c r="N52" s="6" t="str">
        <f>IF(B52&lt;&gt;"",IF(AND(Input!$H$58="Annual",MOD(B52,12)=0),Input!$J$58,IF(AND(Input!$H$58="1st Installment",B52=1),Input!$J$58,IF(Input!$H$58="Monthly",Input!$J$58,IF(AND(Input!$H$58="End of the loan",B52=Input!$E$58),Input!$J$58,"")))),"")</f>
        <v/>
      </c>
      <c r="O52" s="6">
        <f t="shared" si="0"/>
        <v>208.33333333333334</v>
      </c>
      <c r="P52" s="4">
        <f t="shared" si="1"/>
        <v>10525.868335503435</v>
      </c>
      <c r="T52" s="9">
        <f t="shared" si="2"/>
        <v>46356</v>
      </c>
      <c r="U52" s="5">
        <f t="shared" si="3"/>
        <v>10525.87</v>
      </c>
    </row>
    <row r="53" spans="2:21" x14ac:dyDescent="0.2">
      <c r="B53" s="181">
        <f t="shared" si="6"/>
        <v>36</v>
      </c>
      <c r="C53" s="162">
        <f t="shared" si="7"/>
        <v>46386</v>
      </c>
      <c r="D53" s="6">
        <f>IFERROR((PPMT(Input!$E$55/12,B53,$C$6,Input!$E$54,-Input!$E$65,0))," ")</f>
        <v>-3502.1687800302075</v>
      </c>
      <c r="E53" s="6">
        <f>IFERROR(((IPMT(Input!$E$55/12,B53,$C$6,Input!$E$54,-Input!$E$65,0)))," ")</f>
        <v>-6815.3662221398936</v>
      </c>
      <c r="F53" s="6">
        <f t="shared" si="9"/>
        <v>-116513.17485859865</v>
      </c>
      <c r="G53" s="6">
        <f t="shared" si="8"/>
        <v>-254918.08521952498</v>
      </c>
      <c r="H53" s="6">
        <f t="shared" si="4"/>
        <v>-10317.535002170102</v>
      </c>
      <c r="I53" s="6">
        <f t="shared" si="5"/>
        <v>1483486.8251414013</v>
      </c>
      <c r="J53" s="6" t="str">
        <f>IF(B53&lt;&gt;"",IF(AND(Input!$H$54="Annual",MOD(B53,12)=0),Input!$J$54,IF(AND(Input!$H$54="1st Installment",B53=1),Input!$J$54,IF(Input!$H$54="Monthly",Input!$J$54,""))),"")</f>
        <v/>
      </c>
      <c r="K53" s="6">
        <f>IF(B53&lt;&gt;"",IF(AND(Input!$H$55="Annual",MOD(B53,12)=0),Input!$J$55,IF(AND(Input!$H$55="1st Installment",B53=1),Input!$J$55,IF(Input!$H$55="Monthly",Input!$J$55,""))),"")</f>
        <v>0</v>
      </c>
      <c r="L53" s="6">
        <f>IF(B53&lt;&gt;"",IF(AND(Input!$H$56="Annual",MOD(B53,12)=0),Input!$J$56,IF(AND(Input!$H$56="1st Installment",B53=1),Input!$J$56,IF(Input!$H$56="Monthly",Input!$J$56,""))),"")</f>
        <v>208.33333333333334</v>
      </c>
      <c r="M53" s="6" t="str">
        <f>IF(B53&lt;&gt;"",IF(AND(Input!$H$57="Annual",MOD(B53,12)=0),Input!$J$57,IF(AND(Input!$H$57="1st Installment",B53=1),Input!$J$57,IF(Input!$H$57="Monthly",Input!$J$57,""))),"")</f>
        <v/>
      </c>
      <c r="N53" s="6">
        <f>IF(B53&lt;&gt;"",IF(AND(Input!$H$58="Annual",MOD(B53,12)=0),Input!$J$58,IF(AND(Input!$H$58="1st Installment",B53=1),Input!$J$58,IF(Input!$H$58="Monthly",Input!$J$58,IF(AND(Input!$H$58="End of the loan",B53=Input!$E$58),Input!$J$58,"")))),"")</f>
        <v>0</v>
      </c>
      <c r="O53" s="6">
        <f t="shared" si="0"/>
        <v>208.33333333333334</v>
      </c>
      <c r="P53" s="4">
        <f t="shared" si="1"/>
        <v>10525.868335503435</v>
      </c>
      <c r="T53" s="9">
        <f t="shared" si="2"/>
        <v>46386</v>
      </c>
      <c r="U53" s="5">
        <f t="shared" si="3"/>
        <v>10525.87</v>
      </c>
    </row>
    <row r="54" spans="2:21" x14ac:dyDescent="0.2">
      <c r="B54" s="181">
        <f t="shared" si="6"/>
        <v>37</v>
      </c>
      <c r="C54" s="162">
        <f t="shared" si="7"/>
        <v>46417</v>
      </c>
      <c r="D54" s="6">
        <f>IFERROR((PPMT(Input!$E$55/12,B54,$C$6,Input!$E$54,-Input!$E$65,0))," ")</f>
        <v>-3518.2203869386794</v>
      </c>
      <c r="E54" s="6">
        <f>IFERROR(((IPMT(Input!$E$55/12,B54,$C$6,Input!$E$54,-Input!$E$65,0)))," ")</f>
        <v>-6799.3146152314221</v>
      </c>
      <c r="F54" s="6">
        <f t="shared" si="9"/>
        <v>-120031.39524553734</v>
      </c>
      <c r="G54" s="6">
        <f t="shared" si="8"/>
        <v>-261717.39983475639</v>
      </c>
      <c r="H54" s="6">
        <f t="shared" si="4"/>
        <v>-10317.535002170102</v>
      </c>
      <c r="I54" s="6">
        <f t="shared" si="5"/>
        <v>1479968.6047544626</v>
      </c>
      <c r="J54" s="6" t="str">
        <f>IF(B54&lt;&gt;"",IF(AND(Input!$H$54="Annual",MOD(B54,12)=0),Input!$J$54,IF(AND(Input!$H$54="1st Installment",B54=1),Input!$J$54,IF(Input!$H$54="Monthly",Input!$J$54,""))),"")</f>
        <v/>
      </c>
      <c r="K54" s="6" t="str">
        <f>IF(B54&lt;&gt;"",IF(AND(Input!$H$55="Annual",MOD(B54,12)=0),Input!$J$55,IF(AND(Input!$H$55="1st Installment",B54=1),Input!$J$55,IF(Input!$H$55="Monthly",Input!$J$55,""))),"")</f>
        <v/>
      </c>
      <c r="L54" s="6">
        <f>IF(B54&lt;&gt;"",IF(AND(Input!$H$56="Annual",MOD(B54,12)=0),Input!$J$56,IF(AND(Input!$H$56="1st Installment",B54=1),Input!$J$56,IF(Input!$H$56="Monthly",Input!$J$56,""))),"")</f>
        <v>208.33333333333334</v>
      </c>
      <c r="M54" s="6" t="str">
        <f>IF(B54&lt;&gt;"",IF(AND(Input!$H$57="Annual",MOD(B54,12)=0),Input!$J$57,IF(AND(Input!$H$57="1st Installment",B54=1),Input!$J$57,IF(Input!$H$57="Monthly",Input!$J$57,""))),"")</f>
        <v/>
      </c>
      <c r="N54" s="6" t="str">
        <f>IF(B54&lt;&gt;"",IF(AND(Input!$H$58="Annual",MOD(B54,12)=0),Input!$J$58,IF(AND(Input!$H$58="1st Installment",B54=1),Input!$J$58,IF(Input!$H$58="Monthly",Input!$J$58,IF(AND(Input!$H$58="End of the loan",B54=Input!$E$58),Input!$J$58,"")))),"")</f>
        <v/>
      </c>
      <c r="O54" s="6">
        <f t="shared" si="0"/>
        <v>208.33333333333334</v>
      </c>
      <c r="P54" s="4">
        <f t="shared" si="1"/>
        <v>10525.868335503435</v>
      </c>
      <c r="T54" s="9">
        <f t="shared" si="2"/>
        <v>46417</v>
      </c>
      <c r="U54" s="5">
        <f t="shared" si="3"/>
        <v>10525.87</v>
      </c>
    </row>
    <row r="55" spans="2:21" x14ac:dyDescent="0.2">
      <c r="B55" s="181">
        <f t="shared" si="6"/>
        <v>38</v>
      </c>
      <c r="C55" s="162">
        <f t="shared" si="7"/>
        <v>46446</v>
      </c>
      <c r="D55" s="6">
        <f>IFERROR((PPMT(Input!$E$55/12,B55,$C$6,Input!$E$54,-Input!$E$65,0))," ")</f>
        <v>-3534.3455637121483</v>
      </c>
      <c r="E55" s="6">
        <f>IFERROR(((IPMT(Input!$E$55/12,B55,$C$6,Input!$E$54,-Input!$E$65,0)))," ")</f>
        <v>-6783.1894384579527</v>
      </c>
      <c r="F55" s="6">
        <f t="shared" si="9"/>
        <v>-123565.74080924949</v>
      </c>
      <c r="G55" s="6">
        <f t="shared" si="8"/>
        <v>-268500.58927321434</v>
      </c>
      <c r="H55" s="6">
        <f t="shared" si="4"/>
        <v>-10317.535002170102</v>
      </c>
      <c r="I55" s="6">
        <f t="shared" si="5"/>
        <v>1476434.2591907505</v>
      </c>
      <c r="J55" s="6" t="str">
        <f>IF(B55&lt;&gt;"",IF(AND(Input!$H$54="Annual",MOD(B55,12)=0),Input!$J$54,IF(AND(Input!$H$54="1st Installment",B55=1),Input!$J$54,IF(Input!$H$54="Monthly",Input!$J$54,""))),"")</f>
        <v/>
      </c>
      <c r="K55" s="6" t="str">
        <f>IF(B55&lt;&gt;"",IF(AND(Input!$H$55="Annual",MOD(B55,12)=0),Input!$J$55,IF(AND(Input!$H$55="1st Installment",B55=1),Input!$J$55,IF(Input!$H$55="Monthly",Input!$J$55,""))),"")</f>
        <v/>
      </c>
      <c r="L55" s="6">
        <f>IF(B55&lt;&gt;"",IF(AND(Input!$H$56="Annual",MOD(B55,12)=0),Input!$J$56,IF(AND(Input!$H$56="1st Installment",B55=1),Input!$J$56,IF(Input!$H$56="Monthly",Input!$J$56,""))),"")</f>
        <v>208.33333333333334</v>
      </c>
      <c r="M55" s="6" t="str">
        <f>IF(B55&lt;&gt;"",IF(AND(Input!$H$57="Annual",MOD(B55,12)=0),Input!$J$57,IF(AND(Input!$H$57="1st Installment",B55=1),Input!$J$57,IF(Input!$H$57="Monthly",Input!$J$57,""))),"")</f>
        <v/>
      </c>
      <c r="N55" s="6" t="str">
        <f>IF(B55&lt;&gt;"",IF(AND(Input!$H$58="Annual",MOD(B55,12)=0),Input!$J$58,IF(AND(Input!$H$58="1st Installment",B55=1),Input!$J$58,IF(Input!$H$58="Monthly",Input!$J$58,IF(AND(Input!$H$58="End of the loan",B55=Input!$E$58),Input!$J$58,"")))),"")</f>
        <v/>
      </c>
      <c r="O55" s="6">
        <f t="shared" si="0"/>
        <v>208.33333333333334</v>
      </c>
      <c r="P55" s="4">
        <f t="shared" si="1"/>
        <v>10525.868335503435</v>
      </c>
      <c r="T55" s="9">
        <f t="shared" si="2"/>
        <v>46446</v>
      </c>
      <c r="U55" s="5">
        <f t="shared" si="3"/>
        <v>10525.87</v>
      </c>
    </row>
    <row r="56" spans="2:21" x14ac:dyDescent="0.2">
      <c r="B56" s="181">
        <f t="shared" si="6"/>
        <v>39</v>
      </c>
      <c r="C56" s="162">
        <f t="shared" si="7"/>
        <v>46476</v>
      </c>
      <c r="D56" s="6">
        <f>IFERROR((PPMT(Input!$E$55/12,B56,$C$6,Input!$E$54,-Input!$E$65,0))," ")</f>
        <v>-3550.5446475458293</v>
      </c>
      <c r="E56" s="6">
        <f>IFERROR(((IPMT(Input!$E$55/12,B56,$C$6,Input!$E$54,-Input!$E$65,0)))," ")</f>
        <v>-6766.9903546242722</v>
      </c>
      <c r="F56" s="6">
        <f t="shared" si="9"/>
        <v>-127116.28545679532</v>
      </c>
      <c r="G56" s="6">
        <f t="shared" si="8"/>
        <v>-275267.57962783863</v>
      </c>
      <c r="H56" s="6">
        <f t="shared" si="4"/>
        <v>-10317.535002170102</v>
      </c>
      <c r="I56" s="6">
        <f t="shared" si="5"/>
        <v>1472883.7145432048</v>
      </c>
      <c r="J56" s="6" t="str">
        <f>IF(B56&lt;&gt;"",IF(AND(Input!$H$54="Annual",MOD(B56,12)=0),Input!$J$54,IF(AND(Input!$H$54="1st Installment",B56=1),Input!$J$54,IF(Input!$H$54="Monthly",Input!$J$54,""))),"")</f>
        <v/>
      </c>
      <c r="K56" s="6" t="str">
        <f>IF(B56&lt;&gt;"",IF(AND(Input!$H$55="Annual",MOD(B56,12)=0),Input!$J$55,IF(AND(Input!$H$55="1st Installment",B56=1),Input!$J$55,IF(Input!$H$55="Monthly",Input!$J$55,""))),"")</f>
        <v/>
      </c>
      <c r="L56" s="6">
        <f>IF(B56&lt;&gt;"",IF(AND(Input!$H$56="Annual",MOD(B56,12)=0),Input!$J$56,IF(AND(Input!$H$56="1st Installment",B56=1),Input!$J$56,IF(Input!$H$56="Monthly",Input!$J$56,""))),"")</f>
        <v>208.33333333333334</v>
      </c>
      <c r="M56" s="6" t="str">
        <f>IF(B56&lt;&gt;"",IF(AND(Input!$H$57="Annual",MOD(B56,12)=0),Input!$J$57,IF(AND(Input!$H$57="1st Installment",B56=1),Input!$J$57,IF(Input!$H$57="Monthly",Input!$J$57,""))),"")</f>
        <v/>
      </c>
      <c r="N56" s="6" t="str">
        <f>IF(B56&lt;&gt;"",IF(AND(Input!$H$58="Annual",MOD(B56,12)=0),Input!$J$58,IF(AND(Input!$H$58="1st Installment",B56=1),Input!$J$58,IF(Input!$H$58="Monthly",Input!$J$58,IF(AND(Input!$H$58="End of the loan",B56=Input!$E$58),Input!$J$58,"")))),"")</f>
        <v/>
      </c>
      <c r="O56" s="6">
        <f t="shared" si="0"/>
        <v>208.33333333333334</v>
      </c>
      <c r="P56" s="4">
        <f t="shared" si="1"/>
        <v>10525.868335503435</v>
      </c>
      <c r="T56" s="9">
        <f t="shared" si="2"/>
        <v>46476</v>
      </c>
      <c r="U56" s="5">
        <f t="shared" si="3"/>
        <v>10525.87</v>
      </c>
    </row>
    <row r="57" spans="2:21" x14ac:dyDescent="0.2">
      <c r="B57" s="181">
        <f t="shared" si="6"/>
        <v>40</v>
      </c>
      <c r="C57" s="162">
        <f t="shared" si="7"/>
        <v>46507</v>
      </c>
      <c r="D57" s="6">
        <f>IFERROR((PPMT(Input!$E$55/12,B57,$C$6,Input!$E$54,-Input!$E$65,0))," ")</f>
        <v>-3566.8179771804143</v>
      </c>
      <c r="E57" s="6">
        <f>IFERROR(((IPMT(Input!$E$55/12,B57,$C$6,Input!$E$54,-Input!$E$65,0)))," ")</f>
        <v>-6750.7170249896863</v>
      </c>
      <c r="F57" s="6">
        <f t="shared" si="9"/>
        <v>-130683.10343397573</v>
      </c>
      <c r="G57" s="6">
        <f t="shared" si="8"/>
        <v>-282018.29665282829</v>
      </c>
      <c r="H57" s="6">
        <f t="shared" si="4"/>
        <v>-10317.535002170102</v>
      </c>
      <c r="I57" s="6">
        <f t="shared" si="5"/>
        <v>1469316.8965660243</v>
      </c>
      <c r="J57" s="6" t="str">
        <f>IF(B57&lt;&gt;"",IF(AND(Input!$H$54="Annual",MOD(B57,12)=0),Input!$J$54,IF(AND(Input!$H$54="1st Installment",B57=1),Input!$J$54,IF(Input!$H$54="Monthly",Input!$J$54,""))),"")</f>
        <v/>
      </c>
      <c r="K57" s="6" t="str">
        <f>IF(B57&lt;&gt;"",IF(AND(Input!$H$55="Annual",MOD(B57,12)=0),Input!$J$55,IF(AND(Input!$H$55="1st Installment",B57=1),Input!$J$55,IF(Input!$H$55="Monthly",Input!$J$55,""))),"")</f>
        <v/>
      </c>
      <c r="L57" s="6">
        <f>IF(B57&lt;&gt;"",IF(AND(Input!$H$56="Annual",MOD(B57,12)=0),Input!$J$56,IF(AND(Input!$H$56="1st Installment",B57=1),Input!$J$56,IF(Input!$H$56="Monthly",Input!$J$56,""))),"")</f>
        <v>208.33333333333334</v>
      </c>
      <c r="M57" s="6" t="str">
        <f>IF(B57&lt;&gt;"",IF(AND(Input!$H$57="Annual",MOD(B57,12)=0),Input!$J$57,IF(AND(Input!$H$57="1st Installment",B57=1),Input!$J$57,IF(Input!$H$57="Monthly",Input!$J$57,""))),"")</f>
        <v/>
      </c>
      <c r="N57" s="6" t="str">
        <f>IF(B57&lt;&gt;"",IF(AND(Input!$H$58="Annual",MOD(B57,12)=0),Input!$J$58,IF(AND(Input!$H$58="1st Installment",B57=1),Input!$J$58,IF(Input!$H$58="Monthly",Input!$J$58,IF(AND(Input!$H$58="End of the loan",B57=Input!$E$58),Input!$J$58,"")))),"")</f>
        <v/>
      </c>
      <c r="O57" s="6">
        <f t="shared" si="0"/>
        <v>208.33333333333334</v>
      </c>
      <c r="P57" s="4">
        <f t="shared" si="1"/>
        <v>10525.868335503435</v>
      </c>
      <c r="T57" s="9">
        <f t="shared" si="2"/>
        <v>46507</v>
      </c>
      <c r="U57" s="5">
        <f t="shared" si="3"/>
        <v>10525.87</v>
      </c>
    </row>
    <row r="58" spans="2:21" x14ac:dyDescent="0.2">
      <c r="B58" s="181">
        <f t="shared" si="6"/>
        <v>41</v>
      </c>
      <c r="C58" s="162">
        <f t="shared" si="7"/>
        <v>46537</v>
      </c>
      <c r="D58" s="6">
        <f>IFERROR((PPMT(Input!$E$55/12,B58,$C$6,Input!$E$54,-Input!$E$65,0))," ")</f>
        <v>-3583.1658929091577</v>
      </c>
      <c r="E58" s="6">
        <f>IFERROR(((IPMT(Input!$E$55/12,B58,$C$6,Input!$E$54,-Input!$E$65,0)))," ")</f>
        <v>-6734.3691092609433</v>
      </c>
      <c r="F58" s="6">
        <f t="shared" si="9"/>
        <v>-134266.26932688488</v>
      </c>
      <c r="G58" s="6">
        <f t="shared" si="8"/>
        <v>-288752.66576208925</v>
      </c>
      <c r="H58" s="6">
        <f t="shared" si="4"/>
        <v>-10317.535002170102</v>
      </c>
      <c r="I58" s="6">
        <f t="shared" si="5"/>
        <v>1465733.7306731152</v>
      </c>
      <c r="J58" s="6" t="str">
        <f>IF(B58&lt;&gt;"",IF(AND(Input!$H$54="Annual",MOD(B58,12)=0),Input!$J$54,IF(AND(Input!$H$54="1st Installment",B58=1),Input!$J$54,IF(Input!$H$54="Monthly",Input!$J$54,""))),"")</f>
        <v/>
      </c>
      <c r="K58" s="6" t="str">
        <f>IF(B58&lt;&gt;"",IF(AND(Input!$H$55="Annual",MOD(B58,12)=0),Input!$J$55,IF(AND(Input!$H$55="1st Installment",B58=1),Input!$J$55,IF(Input!$H$55="Monthly",Input!$J$55,""))),"")</f>
        <v/>
      </c>
      <c r="L58" s="6">
        <f>IF(B58&lt;&gt;"",IF(AND(Input!$H$56="Annual",MOD(B58,12)=0),Input!$J$56,IF(AND(Input!$H$56="1st Installment",B58=1),Input!$J$56,IF(Input!$H$56="Monthly",Input!$J$56,""))),"")</f>
        <v>208.33333333333334</v>
      </c>
      <c r="M58" s="6" t="str">
        <f>IF(B58&lt;&gt;"",IF(AND(Input!$H$57="Annual",MOD(B58,12)=0),Input!$J$57,IF(AND(Input!$H$57="1st Installment",B58=1),Input!$J$57,IF(Input!$H$57="Monthly",Input!$J$57,""))),"")</f>
        <v/>
      </c>
      <c r="N58" s="6" t="str">
        <f>IF(B58&lt;&gt;"",IF(AND(Input!$H$58="Annual",MOD(B58,12)=0),Input!$J$58,IF(AND(Input!$H$58="1st Installment",B58=1),Input!$J$58,IF(Input!$H$58="Monthly",Input!$J$58,IF(AND(Input!$H$58="End of the loan",B58=Input!$E$58),Input!$J$58,"")))),"")</f>
        <v/>
      </c>
      <c r="O58" s="6">
        <f t="shared" si="0"/>
        <v>208.33333333333334</v>
      </c>
      <c r="P58" s="4">
        <f t="shared" si="1"/>
        <v>10525.868335503435</v>
      </c>
      <c r="T58" s="9">
        <f t="shared" si="2"/>
        <v>46537</v>
      </c>
      <c r="U58" s="5">
        <f t="shared" si="3"/>
        <v>10525.87</v>
      </c>
    </row>
    <row r="59" spans="2:21" x14ac:dyDescent="0.2">
      <c r="B59" s="181">
        <f t="shared" si="6"/>
        <v>42</v>
      </c>
      <c r="C59" s="162">
        <f t="shared" si="7"/>
        <v>46568</v>
      </c>
      <c r="D59" s="6">
        <f>IFERROR((PPMT(Input!$E$55/12,B59,$C$6,Input!$E$54,-Input!$E$65,0))," ")</f>
        <v>-3599.5887365849917</v>
      </c>
      <c r="E59" s="6">
        <f>IFERROR(((IPMT(Input!$E$55/12,B59,$C$6,Input!$E$54,-Input!$E$65,0)))," ")</f>
        <v>-6717.9462655851094</v>
      </c>
      <c r="F59" s="6">
        <f t="shared" si="9"/>
        <v>-137865.85806346987</v>
      </c>
      <c r="G59" s="6">
        <f t="shared" si="8"/>
        <v>-295470.61202767433</v>
      </c>
      <c r="H59" s="6">
        <f t="shared" si="4"/>
        <v>-10317.535002170102</v>
      </c>
      <c r="I59" s="6">
        <f t="shared" si="5"/>
        <v>1462134.1419365301</v>
      </c>
      <c r="J59" s="6" t="str">
        <f>IF(B59&lt;&gt;"",IF(AND(Input!$H$54="Annual",MOD(B59,12)=0),Input!$J$54,IF(AND(Input!$H$54="1st Installment",B59=1),Input!$J$54,IF(Input!$H$54="Monthly",Input!$J$54,""))),"")</f>
        <v/>
      </c>
      <c r="K59" s="6" t="str">
        <f>IF(B59&lt;&gt;"",IF(AND(Input!$H$55="Annual",MOD(B59,12)=0),Input!$J$55,IF(AND(Input!$H$55="1st Installment",B59=1),Input!$J$55,IF(Input!$H$55="Monthly",Input!$J$55,""))),"")</f>
        <v/>
      </c>
      <c r="L59" s="6">
        <f>IF(B59&lt;&gt;"",IF(AND(Input!$H$56="Annual",MOD(B59,12)=0),Input!$J$56,IF(AND(Input!$H$56="1st Installment",B59=1),Input!$J$56,IF(Input!$H$56="Monthly",Input!$J$56,""))),"")</f>
        <v>208.33333333333334</v>
      </c>
      <c r="M59" s="6" t="str">
        <f>IF(B59&lt;&gt;"",IF(AND(Input!$H$57="Annual",MOD(B59,12)=0),Input!$J$57,IF(AND(Input!$H$57="1st Installment",B59=1),Input!$J$57,IF(Input!$H$57="Monthly",Input!$J$57,""))),"")</f>
        <v/>
      </c>
      <c r="N59" s="6" t="str">
        <f>IF(B59&lt;&gt;"",IF(AND(Input!$H$58="Annual",MOD(B59,12)=0),Input!$J$58,IF(AND(Input!$H$58="1st Installment",B59=1),Input!$J$58,IF(Input!$H$58="Monthly",Input!$J$58,IF(AND(Input!$H$58="End of the loan",B59=Input!$E$58),Input!$J$58,"")))),"")</f>
        <v/>
      </c>
      <c r="O59" s="6">
        <f t="shared" si="0"/>
        <v>208.33333333333334</v>
      </c>
      <c r="P59" s="4">
        <f t="shared" si="1"/>
        <v>10525.868335503435</v>
      </c>
      <c r="T59" s="9">
        <f t="shared" si="2"/>
        <v>46568</v>
      </c>
      <c r="U59" s="5">
        <f t="shared" si="3"/>
        <v>10525.87</v>
      </c>
    </row>
    <row r="60" spans="2:21" x14ac:dyDescent="0.2">
      <c r="B60" s="181">
        <f t="shared" si="6"/>
        <v>43</v>
      </c>
      <c r="C60" s="162">
        <f t="shared" si="7"/>
        <v>46598</v>
      </c>
      <c r="D60" s="6">
        <f>IFERROR((PPMT(Input!$E$55/12,B60,$C$6,Input!$E$54,-Input!$E$65,0))," ")</f>
        <v>-3616.0868516276728</v>
      </c>
      <c r="E60" s="6">
        <f>IFERROR(((IPMT(Input!$E$55/12,B60,$C$6,Input!$E$54,-Input!$E$65,0)))," ")</f>
        <v>-6701.4481505424301</v>
      </c>
      <c r="F60" s="6">
        <f t="shared" si="9"/>
        <v>-141481.94491509756</v>
      </c>
      <c r="G60" s="6">
        <f t="shared" si="8"/>
        <v>-302172.06017821678</v>
      </c>
      <c r="H60" s="6">
        <f t="shared" si="4"/>
        <v>-10317.535002170103</v>
      </c>
      <c r="I60" s="6">
        <f t="shared" si="5"/>
        <v>1458518.0550849023</v>
      </c>
      <c r="J60" s="6" t="str">
        <f>IF(B60&lt;&gt;"",IF(AND(Input!$H$54="Annual",MOD(B60,12)=0),Input!$J$54,IF(AND(Input!$H$54="1st Installment",B60=1),Input!$J$54,IF(Input!$H$54="Monthly",Input!$J$54,""))),"")</f>
        <v/>
      </c>
      <c r="K60" s="6" t="str">
        <f>IF(B60&lt;&gt;"",IF(AND(Input!$H$55="Annual",MOD(B60,12)=0),Input!$J$55,IF(AND(Input!$H$55="1st Installment",B60=1),Input!$J$55,IF(Input!$H$55="Monthly",Input!$J$55,""))),"")</f>
        <v/>
      </c>
      <c r="L60" s="6">
        <f>IF(B60&lt;&gt;"",IF(AND(Input!$H$56="Annual",MOD(B60,12)=0),Input!$J$56,IF(AND(Input!$H$56="1st Installment",B60=1),Input!$J$56,IF(Input!$H$56="Monthly",Input!$J$56,""))),"")</f>
        <v>208.33333333333334</v>
      </c>
      <c r="M60" s="6" t="str">
        <f>IF(B60&lt;&gt;"",IF(AND(Input!$H$57="Annual",MOD(B60,12)=0),Input!$J$57,IF(AND(Input!$H$57="1st Installment",B60=1),Input!$J$57,IF(Input!$H$57="Monthly",Input!$J$57,""))),"")</f>
        <v/>
      </c>
      <c r="N60" s="6" t="str">
        <f>IF(B60&lt;&gt;"",IF(AND(Input!$H$58="Annual",MOD(B60,12)=0),Input!$J$58,IF(AND(Input!$H$58="1st Installment",B60=1),Input!$J$58,IF(Input!$H$58="Monthly",Input!$J$58,IF(AND(Input!$H$58="End of the loan",B60=Input!$E$58),Input!$J$58,"")))),"")</f>
        <v/>
      </c>
      <c r="O60" s="6">
        <f t="shared" si="0"/>
        <v>208.33333333333334</v>
      </c>
      <c r="P60" s="4">
        <f t="shared" si="1"/>
        <v>10525.868335503437</v>
      </c>
      <c r="T60" s="9">
        <f t="shared" si="2"/>
        <v>46598</v>
      </c>
      <c r="U60" s="5">
        <f t="shared" si="3"/>
        <v>10525.87</v>
      </c>
    </row>
    <row r="61" spans="2:21" x14ac:dyDescent="0.2">
      <c r="B61" s="181">
        <f t="shared" si="6"/>
        <v>44</v>
      </c>
      <c r="C61" s="162">
        <f t="shared" si="7"/>
        <v>46629</v>
      </c>
      <c r="D61" s="6">
        <f>IFERROR((PPMT(Input!$E$55/12,B61,$C$6,Input!$E$54,-Input!$E$65,0))," ")</f>
        <v>-3632.6605830309663</v>
      </c>
      <c r="E61" s="6">
        <f>IFERROR(((IPMT(Input!$E$55/12,B61,$C$6,Input!$E$54,-Input!$E$65,0)))," ")</f>
        <v>-6684.8744191391343</v>
      </c>
      <c r="F61" s="6">
        <f t="shared" si="9"/>
        <v>-145114.60549812851</v>
      </c>
      <c r="G61" s="6">
        <f t="shared" si="8"/>
        <v>-308856.9345973559</v>
      </c>
      <c r="H61" s="6">
        <f t="shared" si="4"/>
        <v>-10317.535002170102</v>
      </c>
      <c r="I61" s="6">
        <f t="shared" si="5"/>
        <v>1454885.3945018714</v>
      </c>
      <c r="J61" s="6" t="str">
        <f>IF(B61&lt;&gt;"",IF(AND(Input!$H$54="Annual",MOD(B61,12)=0),Input!$J$54,IF(AND(Input!$H$54="1st Installment",B61=1),Input!$J$54,IF(Input!$H$54="Monthly",Input!$J$54,""))),"")</f>
        <v/>
      </c>
      <c r="K61" s="6" t="str">
        <f>IF(B61&lt;&gt;"",IF(AND(Input!$H$55="Annual",MOD(B61,12)=0),Input!$J$55,IF(AND(Input!$H$55="1st Installment",B61=1),Input!$J$55,IF(Input!$H$55="Monthly",Input!$J$55,""))),"")</f>
        <v/>
      </c>
      <c r="L61" s="6">
        <f>IF(B61&lt;&gt;"",IF(AND(Input!$H$56="Annual",MOD(B61,12)=0),Input!$J$56,IF(AND(Input!$H$56="1st Installment",B61=1),Input!$J$56,IF(Input!$H$56="Monthly",Input!$J$56,""))),"")</f>
        <v>208.33333333333334</v>
      </c>
      <c r="M61" s="6" t="str">
        <f>IF(B61&lt;&gt;"",IF(AND(Input!$H$57="Annual",MOD(B61,12)=0),Input!$J$57,IF(AND(Input!$H$57="1st Installment",B61=1),Input!$J$57,IF(Input!$H$57="Monthly",Input!$J$57,""))),"")</f>
        <v/>
      </c>
      <c r="N61" s="6" t="str">
        <f>IF(B61&lt;&gt;"",IF(AND(Input!$H$58="Annual",MOD(B61,12)=0),Input!$J$58,IF(AND(Input!$H$58="1st Installment",B61=1),Input!$J$58,IF(Input!$H$58="Monthly",Input!$J$58,IF(AND(Input!$H$58="End of the loan",B61=Input!$E$58),Input!$J$58,"")))),"")</f>
        <v/>
      </c>
      <c r="O61" s="6">
        <f t="shared" si="0"/>
        <v>208.33333333333334</v>
      </c>
      <c r="P61" s="4">
        <f t="shared" si="1"/>
        <v>10525.868335503435</v>
      </c>
      <c r="T61" s="9">
        <f t="shared" si="2"/>
        <v>46629</v>
      </c>
      <c r="U61" s="5">
        <f t="shared" si="3"/>
        <v>10525.87</v>
      </c>
    </row>
    <row r="62" spans="2:21" x14ac:dyDescent="0.2">
      <c r="B62" s="181">
        <f t="shared" si="6"/>
        <v>45</v>
      </c>
      <c r="C62" s="162">
        <f t="shared" si="7"/>
        <v>46660</v>
      </c>
      <c r="D62" s="6">
        <f>IFERROR((PPMT(Input!$E$55/12,B62,$C$6,Input!$E$54,-Input!$E$65,0))," ")</f>
        <v>-3649.3102773698583</v>
      </c>
      <c r="E62" s="6">
        <f>IFERROR(((IPMT(Input!$E$55/12,B62,$C$6,Input!$E$54,-Input!$E$65,0)))," ")</f>
        <v>-6668.2247248002432</v>
      </c>
      <c r="F62" s="6">
        <f t="shared" si="9"/>
        <v>-148763.91577549838</v>
      </c>
      <c r="G62" s="6">
        <f t="shared" si="8"/>
        <v>-315525.15932215616</v>
      </c>
      <c r="H62" s="6">
        <f t="shared" si="4"/>
        <v>-10317.535002170102</v>
      </c>
      <c r="I62" s="6">
        <f t="shared" si="5"/>
        <v>1451236.0842245016</v>
      </c>
      <c r="J62" s="6" t="str">
        <f>IF(B62&lt;&gt;"",IF(AND(Input!$H$54="Annual",MOD(B62,12)=0),Input!$J$54,IF(AND(Input!$H$54="1st Installment",B62=1),Input!$J$54,IF(Input!$H$54="Monthly",Input!$J$54,""))),"")</f>
        <v/>
      </c>
      <c r="K62" s="6" t="str">
        <f>IF(B62&lt;&gt;"",IF(AND(Input!$H$55="Annual",MOD(B62,12)=0),Input!$J$55,IF(AND(Input!$H$55="1st Installment",B62=1),Input!$J$55,IF(Input!$H$55="Monthly",Input!$J$55,""))),"")</f>
        <v/>
      </c>
      <c r="L62" s="6">
        <f>IF(B62&lt;&gt;"",IF(AND(Input!$H$56="Annual",MOD(B62,12)=0),Input!$J$56,IF(AND(Input!$H$56="1st Installment",B62=1),Input!$J$56,IF(Input!$H$56="Monthly",Input!$J$56,""))),"")</f>
        <v>208.33333333333334</v>
      </c>
      <c r="M62" s="6" t="str">
        <f>IF(B62&lt;&gt;"",IF(AND(Input!$H$57="Annual",MOD(B62,12)=0),Input!$J$57,IF(AND(Input!$H$57="1st Installment",B62=1),Input!$J$57,IF(Input!$H$57="Monthly",Input!$J$57,""))),"")</f>
        <v/>
      </c>
      <c r="N62" s="6" t="str">
        <f>IF(B62&lt;&gt;"",IF(AND(Input!$H$58="Annual",MOD(B62,12)=0),Input!$J$58,IF(AND(Input!$H$58="1st Installment",B62=1),Input!$J$58,IF(Input!$H$58="Monthly",Input!$J$58,IF(AND(Input!$H$58="End of the loan",B62=Input!$E$58),Input!$J$58,"")))),"")</f>
        <v/>
      </c>
      <c r="O62" s="6">
        <f t="shared" si="0"/>
        <v>208.33333333333334</v>
      </c>
      <c r="P62" s="4">
        <f t="shared" si="1"/>
        <v>10525.868335503435</v>
      </c>
      <c r="T62" s="9">
        <f t="shared" si="2"/>
        <v>46660</v>
      </c>
      <c r="U62" s="5">
        <f t="shared" si="3"/>
        <v>10525.87</v>
      </c>
    </row>
    <row r="63" spans="2:21" x14ac:dyDescent="0.2">
      <c r="B63" s="181">
        <f t="shared" si="6"/>
        <v>46</v>
      </c>
      <c r="C63" s="162">
        <f t="shared" si="7"/>
        <v>46690</v>
      </c>
      <c r="D63" s="6">
        <f>IFERROR((PPMT(Input!$E$55/12,B63,$C$6,Input!$E$54,-Input!$E$65,0))," ")</f>
        <v>-3666.0362828078032</v>
      </c>
      <c r="E63" s="6">
        <f>IFERROR(((IPMT(Input!$E$55/12,B63,$C$6,Input!$E$54,-Input!$E$65,0)))," ")</f>
        <v>-6651.4987193622983</v>
      </c>
      <c r="F63" s="6">
        <f t="shared" si="9"/>
        <v>-152429.95205830617</v>
      </c>
      <c r="G63" s="6">
        <f t="shared" si="8"/>
        <v>-322176.65804151847</v>
      </c>
      <c r="H63" s="6">
        <f t="shared" si="4"/>
        <v>-10317.535002170102</v>
      </c>
      <c r="I63" s="6">
        <f t="shared" si="5"/>
        <v>1447570.0479416938</v>
      </c>
      <c r="J63" s="6" t="str">
        <f>IF(B63&lt;&gt;"",IF(AND(Input!$H$54="Annual",MOD(B63,12)=0),Input!$J$54,IF(AND(Input!$H$54="1st Installment",B63=1),Input!$J$54,IF(Input!$H$54="Monthly",Input!$J$54,""))),"")</f>
        <v/>
      </c>
      <c r="K63" s="6" t="str">
        <f>IF(B63&lt;&gt;"",IF(AND(Input!$H$55="Annual",MOD(B63,12)=0),Input!$J$55,IF(AND(Input!$H$55="1st Installment",B63=1),Input!$J$55,IF(Input!$H$55="Monthly",Input!$J$55,""))),"")</f>
        <v/>
      </c>
      <c r="L63" s="6">
        <f>IF(B63&lt;&gt;"",IF(AND(Input!$H$56="Annual",MOD(B63,12)=0),Input!$J$56,IF(AND(Input!$H$56="1st Installment",B63=1),Input!$J$56,IF(Input!$H$56="Monthly",Input!$J$56,""))),"")</f>
        <v>208.33333333333334</v>
      </c>
      <c r="M63" s="6" t="str">
        <f>IF(B63&lt;&gt;"",IF(AND(Input!$H$57="Annual",MOD(B63,12)=0),Input!$J$57,IF(AND(Input!$H$57="1st Installment",B63=1),Input!$J$57,IF(Input!$H$57="Monthly",Input!$J$57,""))),"")</f>
        <v/>
      </c>
      <c r="N63" s="6" t="str">
        <f>IF(B63&lt;&gt;"",IF(AND(Input!$H$58="Annual",MOD(B63,12)=0),Input!$J$58,IF(AND(Input!$H$58="1st Installment",B63=1),Input!$J$58,IF(Input!$H$58="Monthly",Input!$J$58,IF(AND(Input!$H$58="End of the loan",B63=Input!$E$58),Input!$J$58,"")))),"")</f>
        <v/>
      </c>
      <c r="O63" s="6">
        <f t="shared" si="0"/>
        <v>208.33333333333334</v>
      </c>
      <c r="P63" s="4">
        <f t="shared" si="1"/>
        <v>10525.868335503435</v>
      </c>
      <c r="T63" s="9">
        <f t="shared" si="2"/>
        <v>46690</v>
      </c>
      <c r="U63" s="5">
        <f t="shared" si="3"/>
        <v>10525.87</v>
      </c>
    </row>
    <row r="64" spans="2:21" x14ac:dyDescent="0.2">
      <c r="B64" s="181">
        <f t="shared" si="6"/>
        <v>47</v>
      </c>
      <c r="C64" s="162">
        <f t="shared" si="7"/>
        <v>46721</v>
      </c>
      <c r="D64" s="6">
        <f>IFERROR((PPMT(Input!$E$55/12,B64,$C$6,Input!$E$54,-Input!$E$65,0))," ")</f>
        <v>-3682.8389491040052</v>
      </c>
      <c r="E64" s="6">
        <f>IFERROR(((IPMT(Input!$E$55/12,B64,$C$6,Input!$E$54,-Input!$E$65,0)))," ")</f>
        <v>-6634.6960530660954</v>
      </c>
      <c r="F64" s="6">
        <f t="shared" si="9"/>
        <v>-156112.79100741018</v>
      </c>
      <c r="G64" s="6">
        <f t="shared" si="8"/>
        <v>-328811.35409458459</v>
      </c>
      <c r="H64" s="6">
        <f t="shared" si="4"/>
        <v>-10317.535002170102</v>
      </c>
      <c r="I64" s="6">
        <f t="shared" si="5"/>
        <v>1443887.2089925897</v>
      </c>
      <c r="J64" s="6" t="str">
        <f>IF(B64&lt;&gt;"",IF(AND(Input!$H$54="Annual",MOD(B64,12)=0),Input!$J$54,IF(AND(Input!$H$54="1st Installment",B64=1),Input!$J$54,IF(Input!$H$54="Monthly",Input!$J$54,""))),"")</f>
        <v/>
      </c>
      <c r="K64" s="6" t="str">
        <f>IF(B64&lt;&gt;"",IF(AND(Input!$H$55="Annual",MOD(B64,12)=0),Input!$J$55,IF(AND(Input!$H$55="1st Installment",B64=1),Input!$J$55,IF(Input!$H$55="Monthly",Input!$J$55,""))),"")</f>
        <v/>
      </c>
      <c r="L64" s="6">
        <f>IF(B64&lt;&gt;"",IF(AND(Input!$H$56="Annual",MOD(B64,12)=0),Input!$J$56,IF(AND(Input!$H$56="1st Installment",B64=1),Input!$J$56,IF(Input!$H$56="Monthly",Input!$J$56,""))),"")</f>
        <v>208.33333333333334</v>
      </c>
      <c r="M64" s="6" t="str">
        <f>IF(B64&lt;&gt;"",IF(AND(Input!$H$57="Annual",MOD(B64,12)=0),Input!$J$57,IF(AND(Input!$H$57="1st Installment",B64=1),Input!$J$57,IF(Input!$H$57="Monthly",Input!$J$57,""))),"")</f>
        <v/>
      </c>
      <c r="N64" s="6" t="str">
        <f>IF(B64&lt;&gt;"",IF(AND(Input!$H$58="Annual",MOD(B64,12)=0),Input!$J$58,IF(AND(Input!$H$58="1st Installment",B64=1),Input!$J$58,IF(Input!$H$58="Monthly",Input!$J$58,IF(AND(Input!$H$58="End of the loan",B64=Input!$E$58),Input!$J$58,"")))),"")</f>
        <v/>
      </c>
      <c r="O64" s="6">
        <f t="shared" si="0"/>
        <v>208.33333333333334</v>
      </c>
      <c r="P64" s="4">
        <f t="shared" si="1"/>
        <v>10525.868335503435</v>
      </c>
      <c r="T64" s="9">
        <f t="shared" si="2"/>
        <v>46721</v>
      </c>
      <c r="U64" s="5">
        <f t="shared" si="3"/>
        <v>10525.87</v>
      </c>
    </row>
    <row r="65" spans="2:21" x14ac:dyDescent="0.2">
      <c r="B65" s="181">
        <f t="shared" si="6"/>
        <v>48</v>
      </c>
      <c r="C65" s="162">
        <f t="shared" si="7"/>
        <v>46751</v>
      </c>
      <c r="D65" s="6">
        <f>IFERROR((PPMT(Input!$E$55/12,B65,$C$6,Input!$E$54,-Input!$E$65,0))," ")</f>
        <v>-3699.7186276207321</v>
      </c>
      <c r="E65" s="6">
        <f>IFERROR(((IPMT(Input!$E$55/12,B65,$C$6,Input!$E$54,-Input!$E$65,0)))," ")</f>
        <v>-6617.8163745493675</v>
      </c>
      <c r="F65" s="6">
        <f t="shared" si="9"/>
        <v>-159812.5096350309</v>
      </c>
      <c r="G65" s="6">
        <f t="shared" si="8"/>
        <v>-335429.17046913394</v>
      </c>
      <c r="H65" s="6">
        <f t="shared" si="4"/>
        <v>-10317.5350021701</v>
      </c>
      <c r="I65" s="6">
        <f t="shared" si="5"/>
        <v>1440187.490364969</v>
      </c>
      <c r="J65" s="6" t="str">
        <f>IF(B65&lt;&gt;"",IF(AND(Input!$H$54="Annual",MOD(B65,12)=0),Input!$J$54,IF(AND(Input!$H$54="1st Installment",B65=1),Input!$J$54,IF(Input!$H$54="Monthly",Input!$J$54,""))),"")</f>
        <v/>
      </c>
      <c r="K65" s="6">
        <f>IF(B65&lt;&gt;"",IF(AND(Input!$H$55="Annual",MOD(B65,12)=0),Input!$J$55,IF(AND(Input!$H$55="1st Installment",B65=1),Input!$J$55,IF(Input!$H$55="Monthly",Input!$J$55,""))),"")</f>
        <v>0</v>
      </c>
      <c r="L65" s="6">
        <f>IF(B65&lt;&gt;"",IF(AND(Input!$H$56="Annual",MOD(B65,12)=0),Input!$J$56,IF(AND(Input!$H$56="1st Installment",B65=1),Input!$J$56,IF(Input!$H$56="Monthly",Input!$J$56,""))),"")</f>
        <v>208.33333333333334</v>
      </c>
      <c r="M65" s="6" t="str">
        <f>IF(B65&lt;&gt;"",IF(AND(Input!$H$57="Annual",MOD(B65,12)=0),Input!$J$57,IF(AND(Input!$H$57="1st Installment",B65=1),Input!$J$57,IF(Input!$H$57="Monthly",Input!$J$57,""))),"")</f>
        <v/>
      </c>
      <c r="N65" s="6">
        <f>IF(B65&lt;&gt;"",IF(AND(Input!$H$58="Annual",MOD(B65,12)=0),Input!$J$58,IF(AND(Input!$H$58="1st Installment",B65=1),Input!$J$58,IF(Input!$H$58="Monthly",Input!$J$58,IF(AND(Input!$H$58="End of the loan",B65=Input!$E$58),Input!$J$58,"")))),"")</f>
        <v>0</v>
      </c>
      <c r="O65" s="6">
        <f t="shared" si="0"/>
        <v>208.33333333333334</v>
      </c>
      <c r="P65" s="4">
        <f t="shared" si="1"/>
        <v>10525.868335503434</v>
      </c>
      <c r="T65" s="9">
        <f t="shared" si="2"/>
        <v>46751</v>
      </c>
      <c r="U65" s="5">
        <f t="shared" si="3"/>
        <v>10525.87</v>
      </c>
    </row>
    <row r="66" spans="2:21" x14ac:dyDescent="0.2">
      <c r="B66" s="181">
        <f t="shared" si="6"/>
        <v>49</v>
      </c>
      <c r="C66" s="162">
        <f t="shared" si="7"/>
        <v>46782</v>
      </c>
      <c r="D66" s="6">
        <f>IFERROR((PPMT(Input!$E$55/12,B66,$C$6,Input!$E$54,-Input!$E$65,0))," ")</f>
        <v>-3716.6756713306613</v>
      </c>
      <c r="E66" s="6">
        <f>IFERROR(((IPMT(Input!$E$55/12,B66,$C$6,Input!$E$54,-Input!$E$65,0)))," ")</f>
        <v>-6600.8593308394411</v>
      </c>
      <c r="F66" s="6">
        <f t="shared" si="9"/>
        <v>-163529.18530636156</v>
      </c>
      <c r="G66" s="6">
        <f t="shared" si="8"/>
        <v>-342030.02979997336</v>
      </c>
      <c r="H66" s="6">
        <f t="shared" si="4"/>
        <v>-10317.535002170102</v>
      </c>
      <c r="I66" s="6">
        <f t="shared" si="5"/>
        <v>1436470.8146936384</v>
      </c>
      <c r="J66" s="6" t="str">
        <f>IF(B66&lt;&gt;"",IF(AND(Input!$H$54="Annual",MOD(B66,12)=0),Input!$J$54,IF(AND(Input!$H$54="1st Installment",B66=1),Input!$J$54,IF(Input!$H$54="Monthly",Input!$J$54,""))),"")</f>
        <v/>
      </c>
      <c r="K66" s="6" t="str">
        <f>IF(B66&lt;&gt;"",IF(AND(Input!$H$55="Annual",MOD(B66,12)=0),Input!$J$55,IF(AND(Input!$H$55="1st Installment",B66=1),Input!$J$55,IF(Input!$H$55="Monthly",Input!$J$55,""))),"")</f>
        <v/>
      </c>
      <c r="L66" s="6">
        <f>IF(B66&lt;&gt;"",IF(AND(Input!$H$56="Annual",MOD(B66,12)=0),Input!$J$56,IF(AND(Input!$H$56="1st Installment",B66=1),Input!$J$56,IF(Input!$H$56="Monthly",Input!$J$56,""))),"")</f>
        <v>208.33333333333334</v>
      </c>
      <c r="M66" s="6" t="str">
        <f>IF(B66&lt;&gt;"",IF(AND(Input!$H$57="Annual",MOD(B66,12)=0),Input!$J$57,IF(AND(Input!$H$57="1st Installment",B66=1),Input!$J$57,IF(Input!$H$57="Monthly",Input!$J$57,""))),"")</f>
        <v/>
      </c>
      <c r="N66" s="6" t="str">
        <f>IF(B66&lt;&gt;"",IF(AND(Input!$H$58="Annual",MOD(B66,12)=0),Input!$J$58,IF(AND(Input!$H$58="1st Installment",B66=1),Input!$J$58,IF(Input!$H$58="Monthly",Input!$J$58,IF(AND(Input!$H$58="End of the loan",B66=Input!$E$58),Input!$J$58,"")))),"")</f>
        <v/>
      </c>
      <c r="O66" s="6">
        <f t="shared" si="0"/>
        <v>208.33333333333334</v>
      </c>
      <c r="P66" s="4">
        <f t="shared" si="1"/>
        <v>10525.868335503435</v>
      </c>
      <c r="T66" s="9">
        <f t="shared" si="2"/>
        <v>46782</v>
      </c>
      <c r="U66" s="5">
        <f t="shared" si="3"/>
        <v>10525.87</v>
      </c>
    </row>
    <row r="67" spans="2:21" x14ac:dyDescent="0.2">
      <c r="B67" s="181">
        <f t="shared" si="6"/>
        <v>50</v>
      </c>
      <c r="C67" s="162">
        <f t="shared" si="7"/>
        <v>46812</v>
      </c>
      <c r="D67" s="6">
        <f>IFERROR((PPMT(Input!$E$55/12,B67,$C$6,Input!$E$54,-Input!$E$65,0))," ")</f>
        <v>-3733.7104348242597</v>
      </c>
      <c r="E67" s="6">
        <f>IFERROR(((IPMT(Input!$E$55/12,B67,$C$6,Input!$E$54,-Input!$E$65,0)))," ")</f>
        <v>-6583.8245673458405</v>
      </c>
      <c r="F67" s="6">
        <f t="shared" si="9"/>
        <v>-167262.89574118581</v>
      </c>
      <c r="G67" s="6">
        <f t="shared" si="8"/>
        <v>-348613.8543673192</v>
      </c>
      <c r="H67" s="6">
        <f t="shared" si="4"/>
        <v>-10317.5350021701</v>
      </c>
      <c r="I67" s="6">
        <f t="shared" si="5"/>
        <v>1432737.1042588141</v>
      </c>
      <c r="J67" s="6" t="str">
        <f>IF(B67&lt;&gt;"",IF(AND(Input!$H$54="Annual",MOD(B67,12)=0),Input!$J$54,IF(AND(Input!$H$54="1st Installment",B67=1),Input!$J$54,IF(Input!$H$54="Monthly",Input!$J$54,""))),"")</f>
        <v/>
      </c>
      <c r="K67" s="6" t="str">
        <f>IF(B67&lt;&gt;"",IF(AND(Input!$H$55="Annual",MOD(B67,12)=0),Input!$J$55,IF(AND(Input!$H$55="1st Installment",B67=1),Input!$J$55,IF(Input!$H$55="Monthly",Input!$J$55,""))),"")</f>
        <v/>
      </c>
      <c r="L67" s="6">
        <f>IF(B67&lt;&gt;"",IF(AND(Input!$H$56="Annual",MOD(B67,12)=0),Input!$J$56,IF(AND(Input!$H$56="1st Installment",B67=1),Input!$J$56,IF(Input!$H$56="Monthly",Input!$J$56,""))),"")</f>
        <v>208.33333333333334</v>
      </c>
      <c r="M67" s="6" t="str">
        <f>IF(B67&lt;&gt;"",IF(AND(Input!$H$57="Annual",MOD(B67,12)=0),Input!$J$57,IF(AND(Input!$H$57="1st Installment",B67=1),Input!$J$57,IF(Input!$H$57="Monthly",Input!$J$57,""))),"")</f>
        <v/>
      </c>
      <c r="N67" s="6" t="str">
        <f>IF(B67&lt;&gt;"",IF(AND(Input!$H$58="Annual",MOD(B67,12)=0),Input!$J$58,IF(AND(Input!$H$58="1st Installment",B67=1),Input!$J$58,IF(Input!$H$58="Monthly",Input!$J$58,IF(AND(Input!$H$58="End of the loan",B67=Input!$E$58),Input!$J$58,"")))),"")</f>
        <v/>
      </c>
      <c r="O67" s="6">
        <f t="shared" si="0"/>
        <v>208.33333333333334</v>
      </c>
      <c r="P67" s="4">
        <f t="shared" si="1"/>
        <v>10525.868335503434</v>
      </c>
      <c r="T67" s="9">
        <f t="shared" si="2"/>
        <v>46812</v>
      </c>
      <c r="U67" s="5">
        <f t="shared" si="3"/>
        <v>10525.87</v>
      </c>
    </row>
    <row r="68" spans="2:21" x14ac:dyDescent="0.2">
      <c r="B68" s="181">
        <f t="shared" si="6"/>
        <v>51</v>
      </c>
      <c r="C68" s="162">
        <f t="shared" si="7"/>
        <v>46842</v>
      </c>
      <c r="D68" s="6">
        <f>IFERROR((PPMT(Input!$E$55/12,B68,$C$6,Input!$E$54,-Input!$E$65,0))," ")</f>
        <v>-3750.8232743172043</v>
      </c>
      <c r="E68" s="6">
        <f>IFERROR(((IPMT(Input!$E$55/12,B68,$C$6,Input!$E$54,-Input!$E$65,0)))," ")</f>
        <v>-6566.7117278528967</v>
      </c>
      <c r="F68" s="6">
        <f t="shared" si="9"/>
        <v>-171013.71901550301</v>
      </c>
      <c r="G68" s="6">
        <f t="shared" si="8"/>
        <v>-355180.56609517208</v>
      </c>
      <c r="H68" s="6">
        <f t="shared" si="4"/>
        <v>-10317.535002170102</v>
      </c>
      <c r="I68" s="6">
        <f t="shared" si="5"/>
        <v>1428986.2809844969</v>
      </c>
      <c r="J68" s="6" t="str">
        <f>IF(B68&lt;&gt;"",IF(AND(Input!$H$54="Annual",MOD(B68,12)=0),Input!$J$54,IF(AND(Input!$H$54="1st Installment",B68=1),Input!$J$54,IF(Input!$H$54="Monthly",Input!$J$54,""))),"")</f>
        <v/>
      </c>
      <c r="K68" s="6" t="str">
        <f>IF(B68&lt;&gt;"",IF(AND(Input!$H$55="Annual",MOD(B68,12)=0),Input!$J$55,IF(AND(Input!$H$55="1st Installment",B68=1),Input!$J$55,IF(Input!$H$55="Monthly",Input!$J$55,""))),"")</f>
        <v/>
      </c>
      <c r="L68" s="6">
        <f>IF(B68&lt;&gt;"",IF(AND(Input!$H$56="Annual",MOD(B68,12)=0),Input!$J$56,IF(AND(Input!$H$56="1st Installment",B68=1),Input!$J$56,IF(Input!$H$56="Monthly",Input!$J$56,""))),"")</f>
        <v>208.33333333333334</v>
      </c>
      <c r="M68" s="6" t="str">
        <f>IF(B68&lt;&gt;"",IF(AND(Input!$H$57="Annual",MOD(B68,12)=0),Input!$J$57,IF(AND(Input!$H$57="1st Installment",B68=1),Input!$J$57,IF(Input!$H$57="Monthly",Input!$J$57,""))),"")</f>
        <v/>
      </c>
      <c r="N68" s="6" t="str">
        <f>IF(B68&lt;&gt;"",IF(AND(Input!$H$58="Annual",MOD(B68,12)=0),Input!$J$58,IF(AND(Input!$H$58="1st Installment",B68=1),Input!$J$58,IF(Input!$H$58="Monthly",Input!$J$58,IF(AND(Input!$H$58="End of the loan",B68=Input!$E$58),Input!$J$58,"")))),"")</f>
        <v/>
      </c>
      <c r="O68" s="6">
        <f t="shared" si="0"/>
        <v>208.33333333333334</v>
      </c>
      <c r="P68" s="4">
        <f t="shared" si="1"/>
        <v>10525.868335503435</v>
      </c>
      <c r="T68" s="9">
        <f t="shared" si="2"/>
        <v>46842</v>
      </c>
      <c r="U68" s="5">
        <f t="shared" si="3"/>
        <v>10525.87</v>
      </c>
    </row>
    <row r="69" spans="2:21" x14ac:dyDescent="0.2">
      <c r="B69" s="181">
        <f t="shared" si="6"/>
        <v>52</v>
      </c>
      <c r="C69" s="162">
        <f t="shared" si="7"/>
        <v>46873</v>
      </c>
      <c r="D69" s="6">
        <f>IFERROR((PPMT(Input!$E$55/12,B69,$C$6,Input!$E$54,-Input!$E$65,0))," ")</f>
        <v>-3768.014547657825</v>
      </c>
      <c r="E69" s="6">
        <f>IFERROR(((IPMT(Input!$E$55/12,B69,$C$6,Input!$E$54,-Input!$E$65,0)))," ")</f>
        <v>-6549.520454512277</v>
      </c>
      <c r="F69" s="6">
        <f t="shared" si="9"/>
        <v>-174781.73356316084</v>
      </c>
      <c r="G69" s="6">
        <f t="shared" si="8"/>
        <v>-361730.08654968435</v>
      </c>
      <c r="H69" s="6">
        <f t="shared" si="4"/>
        <v>-10317.535002170102</v>
      </c>
      <c r="I69" s="6">
        <f t="shared" si="5"/>
        <v>1425218.2664368392</v>
      </c>
      <c r="J69" s="6" t="str">
        <f>IF(B69&lt;&gt;"",IF(AND(Input!$H$54="Annual",MOD(B69,12)=0),Input!$J$54,IF(AND(Input!$H$54="1st Installment",B69=1),Input!$J$54,IF(Input!$H$54="Monthly",Input!$J$54,""))),"")</f>
        <v/>
      </c>
      <c r="K69" s="6" t="str">
        <f>IF(B69&lt;&gt;"",IF(AND(Input!$H$55="Annual",MOD(B69,12)=0),Input!$J$55,IF(AND(Input!$H$55="1st Installment",B69=1),Input!$J$55,IF(Input!$H$55="Monthly",Input!$J$55,""))),"")</f>
        <v/>
      </c>
      <c r="L69" s="6">
        <f>IF(B69&lt;&gt;"",IF(AND(Input!$H$56="Annual",MOD(B69,12)=0),Input!$J$56,IF(AND(Input!$H$56="1st Installment",B69=1),Input!$J$56,IF(Input!$H$56="Monthly",Input!$J$56,""))),"")</f>
        <v>208.33333333333334</v>
      </c>
      <c r="M69" s="6" t="str">
        <f>IF(B69&lt;&gt;"",IF(AND(Input!$H$57="Annual",MOD(B69,12)=0),Input!$J$57,IF(AND(Input!$H$57="1st Installment",B69=1),Input!$J$57,IF(Input!$H$57="Monthly",Input!$J$57,""))),"")</f>
        <v/>
      </c>
      <c r="N69" s="6" t="str">
        <f>IF(B69&lt;&gt;"",IF(AND(Input!$H$58="Annual",MOD(B69,12)=0),Input!$J$58,IF(AND(Input!$H$58="1st Installment",B69=1),Input!$J$58,IF(Input!$H$58="Monthly",Input!$J$58,IF(AND(Input!$H$58="End of the loan",B69=Input!$E$58),Input!$J$58,"")))),"")</f>
        <v/>
      </c>
      <c r="O69" s="6">
        <f t="shared" si="0"/>
        <v>208.33333333333334</v>
      </c>
      <c r="P69" s="4">
        <f t="shared" si="1"/>
        <v>10525.868335503435</v>
      </c>
      <c r="T69" s="9">
        <f t="shared" si="2"/>
        <v>46873</v>
      </c>
      <c r="U69" s="5">
        <f t="shared" si="3"/>
        <v>10525.87</v>
      </c>
    </row>
    <row r="70" spans="2:21" x14ac:dyDescent="0.2">
      <c r="B70" s="181">
        <f t="shared" si="6"/>
        <v>53</v>
      </c>
      <c r="C70" s="162">
        <f t="shared" si="7"/>
        <v>46903</v>
      </c>
      <c r="D70" s="6">
        <f>IFERROR((PPMT(Input!$E$55/12,B70,$C$6,Input!$E$54,-Input!$E$65,0))," ")</f>
        <v>-3785.2846143345892</v>
      </c>
      <c r="E70" s="6">
        <f>IFERROR(((IPMT(Input!$E$55/12,B70,$C$6,Input!$E$54,-Input!$E$65,0)))," ")</f>
        <v>-6532.2503878355119</v>
      </c>
      <c r="F70" s="6">
        <f t="shared" si="9"/>
        <v>-178567.01817749543</v>
      </c>
      <c r="G70" s="6">
        <f t="shared" si="8"/>
        <v>-368262.33693751984</v>
      </c>
      <c r="H70" s="6">
        <f t="shared" si="4"/>
        <v>-10317.535002170102</v>
      </c>
      <c r="I70" s="6">
        <f t="shared" si="5"/>
        <v>1421432.9818225047</v>
      </c>
      <c r="J70" s="6" t="str">
        <f>IF(B70&lt;&gt;"",IF(AND(Input!$H$54="Annual",MOD(B70,12)=0),Input!$J$54,IF(AND(Input!$H$54="1st Installment",B70=1),Input!$J$54,IF(Input!$H$54="Monthly",Input!$J$54,""))),"")</f>
        <v/>
      </c>
      <c r="K70" s="6" t="str">
        <f>IF(B70&lt;&gt;"",IF(AND(Input!$H$55="Annual",MOD(B70,12)=0),Input!$J$55,IF(AND(Input!$H$55="1st Installment",B70=1),Input!$J$55,IF(Input!$H$55="Monthly",Input!$J$55,""))),"")</f>
        <v/>
      </c>
      <c r="L70" s="6">
        <f>IF(B70&lt;&gt;"",IF(AND(Input!$H$56="Annual",MOD(B70,12)=0),Input!$J$56,IF(AND(Input!$H$56="1st Installment",B70=1),Input!$J$56,IF(Input!$H$56="Monthly",Input!$J$56,""))),"")</f>
        <v>208.33333333333334</v>
      </c>
      <c r="M70" s="6" t="str">
        <f>IF(B70&lt;&gt;"",IF(AND(Input!$H$57="Annual",MOD(B70,12)=0),Input!$J$57,IF(AND(Input!$H$57="1st Installment",B70=1),Input!$J$57,IF(Input!$H$57="Monthly",Input!$J$57,""))),"")</f>
        <v/>
      </c>
      <c r="N70" s="6" t="str">
        <f>IF(B70&lt;&gt;"",IF(AND(Input!$H$58="Annual",MOD(B70,12)=0),Input!$J$58,IF(AND(Input!$H$58="1st Installment",B70=1),Input!$J$58,IF(Input!$H$58="Monthly",Input!$J$58,IF(AND(Input!$H$58="End of the loan",B70=Input!$E$58),Input!$J$58,"")))),"")</f>
        <v/>
      </c>
      <c r="O70" s="6">
        <f t="shared" si="0"/>
        <v>208.33333333333334</v>
      </c>
      <c r="P70" s="4">
        <f t="shared" si="1"/>
        <v>10525.868335503435</v>
      </c>
      <c r="T70" s="9">
        <f t="shared" si="2"/>
        <v>46903</v>
      </c>
      <c r="U70" s="5">
        <f t="shared" si="3"/>
        <v>10525.87</v>
      </c>
    </row>
    <row r="71" spans="2:21" x14ac:dyDescent="0.2">
      <c r="B71" s="181">
        <f t="shared" si="6"/>
        <v>54</v>
      </c>
      <c r="C71" s="162">
        <f t="shared" si="7"/>
        <v>46934</v>
      </c>
      <c r="D71" s="6">
        <f>IFERROR((PPMT(Input!$E$55/12,B71,$C$6,Input!$E$54,-Input!$E$65,0))," ")</f>
        <v>-3802.6338354836234</v>
      </c>
      <c r="E71" s="6">
        <f>IFERROR(((IPMT(Input!$E$55/12,B71,$C$6,Input!$E$54,-Input!$E$65,0)))," ")</f>
        <v>-6514.901166686479</v>
      </c>
      <c r="F71" s="6">
        <f t="shared" si="9"/>
        <v>-182369.65201297906</v>
      </c>
      <c r="G71" s="6">
        <f t="shared" si="8"/>
        <v>-374777.23810420634</v>
      </c>
      <c r="H71" s="6">
        <f t="shared" si="4"/>
        <v>-10317.535002170102</v>
      </c>
      <c r="I71" s="6">
        <f t="shared" si="5"/>
        <v>1417630.3479870209</v>
      </c>
      <c r="J71" s="6" t="str">
        <f>IF(B71&lt;&gt;"",IF(AND(Input!$H$54="Annual",MOD(B71,12)=0),Input!$J$54,IF(AND(Input!$H$54="1st Installment",B71=1),Input!$J$54,IF(Input!$H$54="Monthly",Input!$J$54,""))),"")</f>
        <v/>
      </c>
      <c r="K71" s="6" t="str">
        <f>IF(B71&lt;&gt;"",IF(AND(Input!$H$55="Annual",MOD(B71,12)=0),Input!$J$55,IF(AND(Input!$H$55="1st Installment",B71=1),Input!$J$55,IF(Input!$H$55="Monthly",Input!$J$55,""))),"")</f>
        <v/>
      </c>
      <c r="L71" s="6">
        <f>IF(B71&lt;&gt;"",IF(AND(Input!$H$56="Annual",MOD(B71,12)=0),Input!$J$56,IF(AND(Input!$H$56="1st Installment",B71=1),Input!$J$56,IF(Input!$H$56="Monthly",Input!$J$56,""))),"")</f>
        <v>208.33333333333334</v>
      </c>
      <c r="M71" s="6" t="str">
        <f>IF(B71&lt;&gt;"",IF(AND(Input!$H$57="Annual",MOD(B71,12)=0),Input!$J$57,IF(AND(Input!$H$57="1st Installment",B71=1),Input!$J$57,IF(Input!$H$57="Monthly",Input!$J$57,""))),"")</f>
        <v/>
      </c>
      <c r="N71" s="6" t="str">
        <f>IF(B71&lt;&gt;"",IF(AND(Input!$H$58="Annual",MOD(B71,12)=0),Input!$J$58,IF(AND(Input!$H$58="1st Installment",B71=1),Input!$J$58,IF(Input!$H$58="Monthly",Input!$J$58,IF(AND(Input!$H$58="End of the loan",B71=Input!$E$58),Input!$J$58,"")))),"")</f>
        <v/>
      </c>
      <c r="O71" s="6">
        <f t="shared" si="0"/>
        <v>208.33333333333334</v>
      </c>
      <c r="P71" s="4">
        <f t="shared" si="1"/>
        <v>10525.868335503435</v>
      </c>
      <c r="T71" s="9">
        <f t="shared" si="2"/>
        <v>46934</v>
      </c>
      <c r="U71" s="5">
        <f t="shared" si="3"/>
        <v>10525.87</v>
      </c>
    </row>
    <row r="72" spans="2:21" x14ac:dyDescent="0.2">
      <c r="B72" s="181">
        <f t="shared" si="6"/>
        <v>55</v>
      </c>
      <c r="C72" s="162">
        <f t="shared" si="7"/>
        <v>46964</v>
      </c>
      <c r="D72" s="6">
        <f>IFERROR((PPMT(Input!$E$55/12,B72,$C$6,Input!$E$54,-Input!$E$65,0))," ")</f>
        <v>-3820.0625738962563</v>
      </c>
      <c r="E72" s="6">
        <f>IFERROR(((IPMT(Input!$E$55/12,B72,$C$6,Input!$E$54,-Input!$E$65,0)))," ")</f>
        <v>-6497.4724282738453</v>
      </c>
      <c r="F72" s="6">
        <f t="shared" si="9"/>
        <v>-186189.71458687531</v>
      </c>
      <c r="G72" s="6">
        <f t="shared" si="8"/>
        <v>-381274.71053248015</v>
      </c>
      <c r="H72" s="6">
        <f t="shared" si="4"/>
        <v>-10317.535002170102</v>
      </c>
      <c r="I72" s="6">
        <f t="shared" si="5"/>
        <v>1413810.2854131246</v>
      </c>
      <c r="J72" s="6" t="str">
        <f>IF(B72&lt;&gt;"",IF(AND(Input!$H$54="Annual",MOD(B72,12)=0),Input!$J$54,IF(AND(Input!$H$54="1st Installment",B72=1),Input!$J$54,IF(Input!$H$54="Monthly",Input!$J$54,""))),"")</f>
        <v/>
      </c>
      <c r="K72" s="6" t="str">
        <f>IF(B72&lt;&gt;"",IF(AND(Input!$H$55="Annual",MOD(B72,12)=0),Input!$J$55,IF(AND(Input!$H$55="1st Installment",B72=1),Input!$J$55,IF(Input!$H$55="Monthly",Input!$J$55,""))),"")</f>
        <v/>
      </c>
      <c r="L72" s="6">
        <f>IF(B72&lt;&gt;"",IF(AND(Input!$H$56="Annual",MOD(B72,12)=0),Input!$J$56,IF(AND(Input!$H$56="1st Installment",B72=1),Input!$J$56,IF(Input!$H$56="Monthly",Input!$J$56,""))),"")</f>
        <v>208.33333333333334</v>
      </c>
      <c r="M72" s="6" t="str">
        <f>IF(B72&lt;&gt;"",IF(AND(Input!$H$57="Annual",MOD(B72,12)=0),Input!$J$57,IF(AND(Input!$H$57="1st Installment",B72=1),Input!$J$57,IF(Input!$H$57="Monthly",Input!$J$57,""))),"")</f>
        <v/>
      </c>
      <c r="N72" s="6" t="str">
        <f>IF(B72&lt;&gt;"",IF(AND(Input!$H$58="Annual",MOD(B72,12)=0),Input!$J$58,IF(AND(Input!$H$58="1st Installment",B72=1),Input!$J$58,IF(Input!$H$58="Monthly",Input!$J$58,IF(AND(Input!$H$58="End of the loan",B72=Input!$E$58),Input!$J$58,"")))),"")</f>
        <v/>
      </c>
      <c r="O72" s="6">
        <f t="shared" si="0"/>
        <v>208.33333333333334</v>
      </c>
      <c r="P72" s="4">
        <f t="shared" si="1"/>
        <v>10525.868335503435</v>
      </c>
      <c r="T72" s="9">
        <f t="shared" si="2"/>
        <v>46964</v>
      </c>
      <c r="U72" s="5">
        <f t="shared" si="3"/>
        <v>10525.87</v>
      </c>
    </row>
    <row r="73" spans="2:21" x14ac:dyDescent="0.2">
      <c r="B73" s="181">
        <f t="shared" si="6"/>
        <v>56</v>
      </c>
      <c r="C73" s="162">
        <f t="shared" si="7"/>
        <v>46995</v>
      </c>
      <c r="D73" s="6">
        <f>IFERROR((PPMT(Input!$E$55/12,B73,$C$6,Input!$E$54,-Input!$E$65,0))," ")</f>
        <v>-3837.5711940266142</v>
      </c>
      <c r="E73" s="6">
        <f>IFERROR(((IPMT(Input!$E$55/12,B73,$C$6,Input!$E$54,-Input!$E$65,0)))," ")</f>
        <v>-6479.9638081434878</v>
      </c>
      <c r="F73" s="6">
        <f t="shared" si="9"/>
        <v>-190027.28578090193</v>
      </c>
      <c r="G73" s="6">
        <f t="shared" si="8"/>
        <v>-387754.67434062366</v>
      </c>
      <c r="H73" s="6">
        <f t="shared" si="4"/>
        <v>-10317.535002170102</v>
      </c>
      <c r="I73" s="6">
        <f t="shared" si="5"/>
        <v>1409972.714219098</v>
      </c>
      <c r="J73" s="6" t="str">
        <f>IF(B73&lt;&gt;"",IF(AND(Input!$H$54="Annual",MOD(B73,12)=0),Input!$J$54,IF(AND(Input!$H$54="1st Installment",B73=1),Input!$J$54,IF(Input!$H$54="Monthly",Input!$J$54,""))),"")</f>
        <v/>
      </c>
      <c r="K73" s="6" t="str">
        <f>IF(B73&lt;&gt;"",IF(AND(Input!$H$55="Annual",MOD(B73,12)=0),Input!$J$55,IF(AND(Input!$H$55="1st Installment",B73=1),Input!$J$55,IF(Input!$H$55="Monthly",Input!$J$55,""))),"")</f>
        <v/>
      </c>
      <c r="L73" s="6">
        <f>IF(B73&lt;&gt;"",IF(AND(Input!$H$56="Annual",MOD(B73,12)=0),Input!$J$56,IF(AND(Input!$H$56="1st Installment",B73=1),Input!$J$56,IF(Input!$H$56="Monthly",Input!$J$56,""))),"")</f>
        <v>208.33333333333334</v>
      </c>
      <c r="M73" s="6" t="str">
        <f>IF(B73&lt;&gt;"",IF(AND(Input!$H$57="Annual",MOD(B73,12)=0),Input!$J$57,IF(AND(Input!$H$57="1st Installment",B73=1),Input!$J$57,IF(Input!$H$57="Monthly",Input!$J$57,""))),"")</f>
        <v/>
      </c>
      <c r="N73" s="6" t="str">
        <f>IF(B73&lt;&gt;"",IF(AND(Input!$H$58="Annual",MOD(B73,12)=0),Input!$J$58,IF(AND(Input!$H$58="1st Installment",B73=1),Input!$J$58,IF(Input!$H$58="Monthly",Input!$J$58,IF(AND(Input!$H$58="End of the loan",B73=Input!$E$58),Input!$J$58,"")))),"")</f>
        <v/>
      </c>
      <c r="O73" s="6">
        <f t="shared" si="0"/>
        <v>208.33333333333334</v>
      </c>
      <c r="P73" s="4">
        <f t="shared" si="1"/>
        <v>10525.868335503435</v>
      </c>
      <c r="T73" s="9">
        <f t="shared" si="2"/>
        <v>46995</v>
      </c>
      <c r="U73" s="5">
        <f t="shared" si="3"/>
        <v>10525.87</v>
      </c>
    </row>
    <row r="74" spans="2:21" x14ac:dyDescent="0.2">
      <c r="B74" s="181">
        <f t="shared" si="6"/>
        <v>57</v>
      </c>
      <c r="C74" s="162">
        <f t="shared" si="7"/>
        <v>47026</v>
      </c>
      <c r="D74" s="6">
        <f>IFERROR((PPMT(Input!$E$55/12,B74,$C$6,Input!$E$54,-Input!$E$65,0))," ")</f>
        <v>-3855.1600619992364</v>
      </c>
      <c r="E74" s="6">
        <f>IFERROR(((IPMT(Input!$E$55/12,B74,$C$6,Input!$E$54,-Input!$E$65,0)))," ")</f>
        <v>-6462.3749401708656</v>
      </c>
      <c r="F74" s="6">
        <f t="shared" si="9"/>
        <v>-193882.44584290116</v>
      </c>
      <c r="G74" s="6">
        <f t="shared" si="8"/>
        <v>-394217.04928079451</v>
      </c>
      <c r="H74" s="6">
        <f t="shared" si="4"/>
        <v>-10317.535002170102</v>
      </c>
      <c r="I74" s="6">
        <f t="shared" si="5"/>
        <v>1406117.5541570988</v>
      </c>
      <c r="J74" s="6" t="str">
        <f>IF(B74&lt;&gt;"",IF(AND(Input!$H$54="Annual",MOD(B74,12)=0),Input!$J$54,IF(AND(Input!$H$54="1st Installment",B74=1),Input!$J$54,IF(Input!$H$54="Monthly",Input!$J$54,""))),"")</f>
        <v/>
      </c>
      <c r="K74" s="6" t="str">
        <f>IF(B74&lt;&gt;"",IF(AND(Input!$H$55="Annual",MOD(B74,12)=0),Input!$J$55,IF(AND(Input!$H$55="1st Installment",B74=1),Input!$J$55,IF(Input!$H$55="Monthly",Input!$J$55,""))),"")</f>
        <v/>
      </c>
      <c r="L74" s="6">
        <f>IF(B74&lt;&gt;"",IF(AND(Input!$H$56="Annual",MOD(B74,12)=0),Input!$J$56,IF(AND(Input!$H$56="1st Installment",B74=1),Input!$J$56,IF(Input!$H$56="Monthly",Input!$J$56,""))),"")</f>
        <v>208.33333333333334</v>
      </c>
      <c r="M74" s="6" t="str">
        <f>IF(B74&lt;&gt;"",IF(AND(Input!$H$57="Annual",MOD(B74,12)=0),Input!$J$57,IF(AND(Input!$H$57="1st Installment",B74=1),Input!$J$57,IF(Input!$H$57="Monthly",Input!$J$57,""))),"")</f>
        <v/>
      </c>
      <c r="N74" s="6" t="str">
        <f>IF(B74&lt;&gt;"",IF(AND(Input!$H$58="Annual",MOD(B74,12)=0),Input!$J$58,IF(AND(Input!$H$58="1st Installment",B74=1),Input!$J$58,IF(Input!$H$58="Monthly",Input!$J$58,IF(AND(Input!$H$58="End of the loan",B74=Input!$E$58),Input!$J$58,"")))),"")</f>
        <v/>
      </c>
      <c r="O74" s="6">
        <f t="shared" si="0"/>
        <v>208.33333333333334</v>
      </c>
      <c r="P74" s="4">
        <f t="shared" si="1"/>
        <v>10525.868335503435</v>
      </c>
      <c r="T74" s="9">
        <f t="shared" si="2"/>
        <v>47026</v>
      </c>
      <c r="U74" s="5">
        <f t="shared" si="3"/>
        <v>10525.87</v>
      </c>
    </row>
    <row r="75" spans="2:21" x14ac:dyDescent="0.2">
      <c r="B75" s="181">
        <f t="shared" si="6"/>
        <v>58</v>
      </c>
      <c r="C75" s="162">
        <f t="shared" si="7"/>
        <v>47056</v>
      </c>
      <c r="D75" s="6">
        <f>IFERROR((PPMT(Input!$E$55/12,B75,$C$6,Input!$E$54,-Input!$E$65,0))," ")</f>
        <v>-3872.8295456167325</v>
      </c>
      <c r="E75" s="6">
        <f>IFERROR(((IPMT(Input!$E$55/12,B75,$C$6,Input!$E$54,-Input!$E$65,0)))," ")</f>
        <v>-6444.7054565533681</v>
      </c>
      <c r="F75" s="6">
        <f t="shared" si="9"/>
        <v>-197755.27538851788</v>
      </c>
      <c r="G75" s="6">
        <f t="shared" si="8"/>
        <v>-400661.75473734789</v>
      </c>
      <c r="H75" s="6">
        <f t="shared" si="4"/>
        <v>-10317.535002170102</v>
      </c>
      <c r="I75" s="6">
        <f t="shared" si="5"/>
        <v>1402244.7246114821</v>
      </c>
      <c r="J75" s="6" t="str">
        <f>IF(B75&lt;&gt;"",IF(AND(Input!$H$54="Annual",MOD(B75,12)=0),Input!$J$54,IF(AND(Input!$H$54="1st Installment",B75=1),Input!$J$54,IF(Input!$H$54="Monthly",Input!$J$54,""))),"")</f>
        <v/>
      </c>
      <c r="K75" s="6" t="str">
        <f>IF(B75&lt;&gt;"",IF(AND(Input!$H$55="Annual",MOD(B75,12)=0),Input!$J$55,IF(AND(Input!$H$55="1st Installment",B75=1),Input!$J$55,IF(Input!$H$55="Monthly",Input!$J$55,""))),"")</f>
        <v/>
      </c>
      <c r="L75" s="6">
        <f>IF(B75&lt;&gt;"",IF(AND(Input!$H$56="Annual",MOD(B75,12)=0),Input!$J$56,IF(AND(Input!$H$56="1st Installment",B75=1),Input!$J$56,IF(Input!$H$56="Monthly",Input!$J$56,""))),"")</f>
        <v>208.33333333333334</v>
      </c>
      <c r="M75" s="6" t="str">
        <f>IF(B75&lt;&gt;"",IF(AND(Input!$H$57="Annual",MOD(B75,12)=0),Input!$J$57,IF(AND(Input!$H$57="1st Installment",B75=1),Input!$J$57,IF(Input!$H$57="Monthly",Input!$J$57,""))),"")</f>
        <v/>
      </c>
      <c r="N75" s="6" t="str">
        <f>IF(B75&lt;&gt;"",IF(AND(Input!$H$58="Annual",MOD(B75,12)=0),Input!$J$58,IF(AND(Input!$H$58="1st Installment",B75=1),Input!$J$58,IF(Input!$H$58="Monthly",Input!$J$58,IF(AND(Input!$H$58="End of the loan",B75=Input!$E$58),Input!$J$58,"")))),"")</f>
        <v/>
      </c>
      <c r="O75" s="6">
        <f t="shared" si="0"/>
        <v>208.33333333333334</v>
      </c>
      <c r="P75" s="4">
        <f t="shared" si="1"/>
        <v>10525.868335503435</v>
      </c>
      <c r="T75" s="9">
        <f t="shared" si="2"/>
        <v>47056</v>
      </c>
      <c r="U75" s="5">
        <f t="shared" si="3"/>
        <v>10525.87</v>
      </c>
    </row>
    <row r="76" spans="2:21" x14ac:dyDescent="0.2">
      <c r="B76" s="181">
        <f t="shared" si="6"/>
        <v>59</v>
      </c>
      <c r="C76" s="162">
        <f t="shared" si="7"/>
        <v>47087</v>
      </c>
      <c r="D76" s="6">
        <f>IFERROR((PPMT(Input!$E$55/12,B76,$C$6,Input!$E$54,-Input!$E$65,0))," ")</f>
        <v>-3890.580014367476</v>
      </c>
      <c r="E76" s="6">
        <f>IFERROR(((IPMT(Input!$E$55/12,B76,$C$6,Input!$E$54,-Input!$E$65,0)))," ")</f>
        <v>-6426.9549878026255</v>
      </c>
      <c r="F76" s="6">
        <f t="shared" si="9"/>
        <v>-201645.85540288535</v>
      </c>
      <c r="G76" s="6">
        <f t="shared" si="8"/>
        <v>-407088.70972515049</v>
      </c>
      <c r="H76" s="6">
        <f t="shared" si="4"/>
        <v>-10317.535002170102</v>
      </c>
      <c r="I76" s="6">
        <f t="shared" si="5"/>
        <v>1398354.1445971145</v>
      </c>
      <c r="J76" s="6" t="str">
        <f>IF(B76&lt;&gt;"",IF(AND(Input!$H$54="Annual",MOD(B76,12)=0),Input!$J$54,IF(AND(Input!$H$54="1st Installment",B76=1),Input!$J$54,IF(Input!$H$54="Monthly",Input!$J$54,""))),"")</f>
        <v/>
      </c>
      <c r="K76" s="6" t="str">
        <f>IF(B76&lt;&gt;"",IF(AND(Input!$H$55="Annual",MOD(B76,12)=0),Input!$J$55,IF(AND(Input!$H$55="1st Installment",B76=1),Input!$J$55,IF(Input!$H$55="Monthly",Input!$J$55,""))),"")</f>
        <v/>
      </c>
      <c r="L76" s="6">
        <f>IF(B76&lt;&gt;"",IF(AND(Input!$H$56="Annual",MOD(B76,12)=0),Input!$J$56,IF(AND(Input!$H$56="1st Installment",B76=1),Input!$J$56,IF(Input!$H$56="Monthly",Input!$J$56,""))),"")</f>
        <v>208.33333333333334</v>
      </c>
      <c r="M76" s="6" t="str">
        <f>IF(B76&lt;&gt;"",IF(AND(Input!$H$57="Annual",MOD(B76,12)=0),Input!$J$57,IF(AND(Input!$H$57="1st Installment",B76=1),Input!$J$57,IF(Input!$H$57="Monthly",Input!$J$57,""))),"")</f>
        <v/>
      </c>
      <c r="N76" s="6" t="str">
        <f>IF(B76&lt;&gt;"",IF(AND(Input!$H$58="Annual",MOD(B76,12)=0),Input!$J$58,IF(AND(Input!$H$58="1st Installment",B76=1),Input!$J$58,IF(Input!$H$58="Monthly",Input!$J$58,IF(AND(Input!$H$58="End of the loan",B76=Input!$E$58),Input!$J$58,"")))),"")</f>
        <v/>
      </c>
      <c r="O76" s="6">
        <f t="shared" si="0"/>
        <v>208.33333333333334</v>
      </c>
      <c r="P76" s="4">
        <f t="shared" si="1"/>
        <v>10525.868335503435</v>
      </c>
      <c r="T76" s="9">
        <f t="shared" si="2"/>
        <v>47087</v>
      </c>
      <c r="U76" s="5">
        <f t="shared" si="3"/>
        <v>10525.87</v>
      </c>
    </row>
    <row r="77" spans="2:21" x14ac:dyDescent="0.2">
      <c r="B77" s="181">
        <f t="shared" si="6"/>
        <v>60</v>
      </c>
      <c r="C77" s="162">
        <f t="shared" si="7"/>
        <v>47117</v>
      </c>
      <c r="D77" s="6">
        <f>IFERROR((PPMT(Input!$E$55/12,B77,$C$6,Input!$E$54,-Input!$E$65,0))," ")</f>
        <v>-3908.4118394333277</v>
      </c>
      <c r="E77" s="6">
        <f>IFERROR(((IPMT(Input!$E$55/12,B77,$C$6,Input!$E$54,-Input!$E$65,0)))," ")</f>
        <v>-6409.1231627367742</v>
      </c>
      <c r="F77" s="6">
        <f t="shared" si="9"/>
        <v>-205554.26724231869</v>
      </c>
      <c r="G77" s="6">
        <f t="shared" si="8"/>
        <v>-413497.83288788726</v>
      </c>
      <c r="H77" s="6">
        <f t="shared" si="4"/>
        <v>-10317.535002170102</v>
      </c>
      <c r="I77" s="6">
        <f t="shared" si="5"/>
        <v>1394445.7327576813</v>
      </c>
      <c r="J77" s="6" t="str">
        <f>IF(B77&lt;&gt;"",IF(AND(Input!$H$54="Annual",MOD(B77,12)=0),Input!$J$54,IF(AND(Input!$H$54="1st Installment",B77=1),Input!$J$54,IF(Input!$H$54="Monthly",Input!$J$54,""))),"")</f>
        <v/>
      </c>
      <c r="K77" s="6">
        <f>IF(B77&lt;&gt;"",IF(AND(Input!$H$55="Annual",MOD(B77,12)=0),Input!$J$55,IF(AND(Input!$H$55="1st Installment",B77=1),Input!$J$55,IF(Input!$H$55="Monthly",Input!$J$55,""))),"")</f>
        <v>0</v>
      </c>
      <c r="L77" s="6">
        <f>IF(B77&lt;&gt;"",IF(AND(Input!$H$56="Annual",MOD(B77,12)=0),Input!$J$56,IF(AND(Input!$H$56="1st Installment",B77=1),Input!$J$56,IF(Input!$H$56="Monthly",Input!$J$56,""))),"")</f>
        <v>208.33333333333334</v>
      </c>
      <c r="M77" s="6" t="str">
        <f>IF(B77&lt;&gt;"",IF(AND(Input!$H$57="Annual",MOD(B77,12)=0),Input!$J$57,IF(AND(Input!$H$57="1st Installment",B77=1),Input!$J$57,IF(Input!$H$57="Monthly",Input!$J$57,""))),"")</f>
        <v/>
      </c>
      <c r="N77" s="6">
        <f>IF(B77&lt;&gt;"",IF(AND(Input!$H$58="Annual",MOD(B77,12)=0),Input!$J$58,IF(AND(Input!$H$58="1st Installment",B77=1),Input!$J$58,IF(Input!$H$58="Monthly",Input!$J$58,IF(AND(Input!$H$58="End of the loan",B77=Input!$E$58),Input!$J$58,"")))),"")</f>
        <v>0</v>
      </c>
      <c r="O77" s="6">
        <f t="shared" si="0"/>
        <v>208.33333333333334</v>
      </c>
      <c r="P77" s="4">
        <f t="shared" si="1"/>
        <v>10525.868335503435</v>
      </c>
      <c r="T77" s="9">
        <f t="shared" si="2"/>
        <v>47117</v>
      </c>
      <c r="U77" s="5">
        <f t="shared" si="3"/>
        <v>10525.87</v>
      </c>
    </row>
    <row r="78" spans="2:21" x14ac:dyDescent="0.2">
      <c r="B78" s="181">
        <f t="shared" si="6"/>
        <v>61</v>
      </c>
      <c r="C78" s="162">
        <f t="shared" si="7"/>
        <v>47148</v>
      </c>
      <c r="D78" s="6">
        <f>IFERROR((PPMT(Input!$E$55/12,B78,$C$6,Input!$E$54,-Input!$E$65,0))," ")</f>
        <v>-3926.3253936973965</v>
      </c>
      <c r="E78" s="6">
        <f>IFERROR(((IPMT(Input!$E$55/12,B78,$C$6,Input!$E$54,-Input!$E$65,0)))," ")</f>
        <v>-6391.2096084727045</v>
      </c>
      <c r="F78" s="6">
        <f t="shared" si="9"/>
        <v>-209480.59263601608</v>
      </c>
      <c r="G78" s="6">
        <f t="shared" si="8"/>
        <v>-419889.04249635997</v>
      </c>
      <c r="H78" s="6">
        <f t="shared" si="4"/>
        <v>-10317.535002170102</v>
      </c>
      <c r="I78" s="6">
        <f t="shared" si="5"/>
        <v>1390519.4073639838</v>
      </c>
      <c r="J78" s="6" t="str">
        <f>IF(B78&lt;&gt;"",IF(AND(Input!$H$54="Annual",MOD(B78,12)=0),Input!$J$54,IF(AND(Input!$H$54="1st Installment",B78=1),Input!$J$54,IF(Input!$H$54="Monthly",Input!$J$54,""))),"")</f>
        <v/>
      </c>
      <c r="K78" s="6" t="str">
        <f>IF(B78&lt;&gt;"",IF(AND(Input!$H$55="Annual",MOD(B78,12)=0),Input!$J$55,IF(AND(Input!$H$55="1st Installment",B78=1),Input!$J$55,IF(Input!$H$55="Monthly",Input!$J$55,""))),"")</f>
        <v/>
      </c>
      <c r="L78" s="6">
        <f>IF(B78&lt;&gt;"",IF(AND(Input!$H$56="Annual",MOD(B78,12)=0),Input!$J$56,IF(AND(Input!$H$56="1st Installment",B78=1),Input!$J$56,IF(Input!$H$56="Monthly",Input!$J$56,""))),"")</f>
        <v>208.33333333333334</v>
      </c>
      <c r="M78" s="6" t="str">
        <f>IF(B78&lt;&gt;"",IF(AND(Input!$H$57="Annual",MOD(B78,12)=0),Input!$J$57,IF(AND(Input!$H$57="1st Installment",B78=1),Input!$J$57,IF(Input!$H$57="Monthly",Input!$J$57,""))),"")</f>
        <v/>
      </c>
      <c r="N78" s="6" t="str">
        <f>IF(B78&lt;&gt;"",IF(AND(Input!$H$58="Annual",MOD(B78,12)=0),Input!$J$58,IF(AND(Input!$H$58="1st Installment",B78=1),Input!$J$58,IF(Input!$H$58="Monthly",Input!$J$58,IF(AND(Input!$H$58="End of the loan",B78=Input!$E$58),Input!$J$58,"")))),"")</f>
        <v/>
      </c>
      <c r="O78" s="6">
        <f t="shared" si="0"/>
        <v>208.33333333333334</v>
      </c>
      <c r="P78" s="4">
        <f t="shared" si="1"/>
        <v>10525.868335503435</v>
      </c>
      <c r="T78" s="9">
        <f t="shared" si="2"/>
        <v>47148</v>
      </c>
      <c r="U78" s="5">
        <f t="shared" si="3"/>
        <v>10525.87</v>
      </c>
    </row>
    <row r="79" spans="2:21" x14ac:dyDescent="0.2">
      <c r="B79" s="181">
        <f t="shared" si="6"/>
        <v>62</v>
      </c>
      <c r="C79" s="162">
        <f t="shared" si="7"/>
        <v>47177</v>
      </c>
      <c r="D79" s="6">
        <f>IFERROR((PPMT(Input!$E$55/12,B79,$C$6,Input!$E$54,-Input!$E$65,0))," ")</f>
        <v>-3944.3210517518432</v>
      </c>
      <c r="E79" s="6">
        <f>IFERROR(((IPMT(Input!$E$55/12,B79,$C$6,Input!$E$54,-Input!$E$65,0)))," ")</f>
        <v>-6373.2139504182578</v>
      </c>
      <c r="F79" s="6">
        <f t="shared" si="9"/>
        <v>-213424.91368776793</v>
      </c>
      <c r="G79" s="6">
        <f t="shared" si="8"/>
        <v>-426262.25644677825</v>
      </c>
      <c r="H79" s="6">
        <f t="shared" si="4"/>
        <v>-10317.535002170102</v>
      </c>
      <c r="I79" s="6">
        <f t="shared" si="5"/>
        <v>1386575.0863122321</v>
      </c>
      <c r="J79" s="6" t="str">
        <f>IF(B79&lt;&gt;"",IF(AND(Input!$H$54="Annual",MOD(B79,12)=0),Input!$J$54,IF(AND(Input!$H$54="1st Installment",B79=1),Input!$J$54,IF(Input!$H$54="Monthly",Input!$J$54,""))),"")</f>
        <v/>
      </c>
      <c r="K79" s="6" t="str">
        <f>IF(B79&lt;&gt;"",IF(AND(Input!$H$55="Annual",MOD(B79,12)=0),Input!$J$55,IF(AND(Input!$H$55="1st Installment",B79=1),Input!$J$55,IF(Input!$H$55="Monthly",Input!$J$55,""))),"")</f>
        <v/>
      </c>
      <c r="L79" s="6">
        <f>IF(B79&lt;&gt;"",IF(AND(Input!$H$56="Annual",MOD(B79,12)=0),Input!$J$56,IF(AND(Input!$H$56="1st Installment",B79=1),Input!$J$56,IF(Input!$H$56="Monthly",Input!$J$56,""))),"")</f>
        <v>208.33333333333334</v>
      </c>
      <c r="M79" s="6" t="str">
        <f>IF(B79&lt;&gt;"",IF(AND(Input!$H$57="Annual",MOD(B79,12)=0),Input!$J$57,IF(AND(Input!$H$57="1st Installment",B79=1),Input!$J$57,IF(Input!$H$57="Monthly",Input!$J$57,""))),"")</f>
        <v/>
      </c>
      <c r="N79" s="6" t="str">
        <f>IF(B79&lt;&gt;"",IF(AND(Input!$H$58="Annual",MOD(B79,12)=0),Input!$J$58,IF(AND(Input!$H$58="1st Installment",B79=1),Input!$J$58,IF(Input!$H$58="Monthly",Input!$J$58,IF(AND(Input!$H$58="End of the loan",B79=Input!$E$58),Input!$J$58,"")))),"")</f>
        <v/>
      </c>
      <c r="O79" s="6">
        <f t="shared" si="0"/>
        <v>208.33333333333334</v>
      </c>
      <c r="P79" s="4">
        <f t="shared" si="1"/>
        <v>10525.868335503435</v>
      </c>
      <c r="T79" s="9">
        <f t="shared" si="2"/>
        <v>47177</v>
      </c>
      <c r="U79" s="5">
        <f t="shared" si="3"/>
        <v>10525.87</v>
      </c>
    </row>
    <row r="80" spans="2:21" x14ac:dyDescent="0.2">
      <c r="B80" s="181">
        <f t="shared" si="6"/>
        <v>63</v>
      </c>
      <c r="C80" s="162">
        <f t="shared" si="7"/>
        <v>47207</v>
      </c>
      <c r="D80" s="6">
        <f>IFERROR((PPMT(Input!$E$55/12,B80,$C$6,Input!$E$54,-Input!$E$65,0))," ")</f>
        <v>-3962.399189905706</v>
      </c>
      <c r="E80" s="6">
        <f>IFERROR(((IPMT(Input!$E$55/12,B80,$C$6,Input!$E$54,-Input!$E$65,0)))," ")</f>
        <v>-6355.135812264396</v>
      </c>
      <c r="F80" s="6">
        <f t="shared" si="9"/>
        <v>-217387.31287767363</v>
      </c>
      <c r="G80" s="6">
        <f t="shared" si="8"/>
        <v>-432617.39225904265</v>
      </c>
      <c r="H80" s="6">
        <f t="shared" si="4"/>
        <v>-10317.535002170102</v>
      </c>
      <c r="I80" s="6">
        <f t="shared" si="5"/>
        <v>1382612.6871223263</v>
      </c>
      <c r="J80" s="6" t="str">
        <f>IF(B80&lt;&gt;"",IF(AND(Input!$H$54="Annual",MOD(B80,12)=0),Input!$J$54,IF(AND(Input!$H$54="1st Installment",B80=1),Input!$J$54,IF(Input!$H$54="Monthly",Input!$J$54,""))),"")</f>
        <v/>
      </c>
      <c r="K80" s="6" t="str">
        <f>IF(B80&lt;&gt;"",IF(AND(Input!$H$55="Annual",MOD(B80,12)=0),Input!$J$55,IF(AND(Input!$H$55="1st Installment",B80=1),Input!$J$55,IF(Input!$H$55="Monthly",Input!$J$55,""))),"")</f>
        <v/>
      </c>
      <c r="L80" s="6">
        <f>IF(B80&lt;&gt;"",IF(AND(Input!$H$56="Annual",MOD(B80,12)=0),Input!$J$56,IF(AND(Input!$H$56="1st Installment",B80=1),Input!$J$56,IF(Input!$H$56="Monthly",Input!$J$56,""))),"")</f>
        <v>208.33333333333334</v>
      </c>
      <c r="M80" s="6" t="str">
        <f>IF(B80&lt;&gt;"",IF(AND(Input!$H$57="Annual",MOD(B80,12)=0),Input!$J$57,IF(AND(Input!$H$57="1st Installment",B80=1),Input!$J$57,IF(Input!$H$57="Monthly",Input!$J$57,""))),"")</f>
        <v/>
      </c>
      <c r="N80" s="6" t="str">
        <f>IF(B80&lt;&gt;"",IF(AND(Input!$H$58="Annual",MOD(B80,12)=0),Input!$J$58,IF(AND(Input!$H$58="1st Installment",B80=1),Input!$J$58,IF(Input!$H$58="Monthly",Input!$J$58,IF(AND(Input!$H$58="End of the loan",B80=Input!$E$58),Input!$J$58,"")))),"")</f>
        <v/>
      </c>
      <c r="O80" s="6">
        <f t="shared" si="0"/>
        <v>208.33333333333334</v>
      </c>
      <c r="P80" s="4">
        <f t="shared" si="1"/>
        <v>10525.868335503435</v>
      </c>
      <c r="T80" s="9">
        <f t="shared" si="2"/>
        <v>47207</v>
      </c>
      <c r="U80" s="5">
        <f t="shared" si="3"/>
        <v>10525.87</v>
      </c>
    </row>
    <row r="81" spans="2:21" x14ac:dyDescent="0.2">
      <c r="B81" s="181">
        <f t="shared" si="6"/>
        <v>64</v>
      </c>
      <c r="C81" s="162">
        <f t="shared" si="7"/>
        <v>47238</v>
      </c>
      <c r="D81" s="6">
        <f>IFERROR((PPMT(Input!$E$55/12,B81,$C$6,Input!$E$54,-Input!$E$65,0))," ")</f>
        <v>-3980.5601861927735</v>
      </c>
      <c r="E81" s="6">
        <f>IFERROR(((IPMT(Input!$E$55/12,B81,$C$6,Input!$E$54,-Input!$E$65,0)))," ")</f>
        <v>-6336.974815977328</v>
      </c>
      <c r="F81" s="6">
        <f t="shared" si="9"/>
        <v>-221367.8730638664</v>
      </c>
      <c r="G81" s="6">
        <f t="shared" si="8"/>
        <v>-438954.36707501998</v>
      </c>
      <c r="H81" s="6">
        <f t="shared" si="4"/>
        <v>-10317.535002170102</v>
      </c>
      <c r="I81" s="6">
        <f t="shared" si="5"/>
        <v>1378632.1269361335</v>
      </c>
      <c r="J81" s="6" t="str">
        <f>IF(B81&lt;&gt;"",IF(AND(Input!$H$54="Annual",MOD(B81,12)=0),Input!$J$54,IF(AND(Input!$H$54="1st Installment",B81=1),Input!$J$54,IF(Input!$H$54="Monthly",Input!$J$54,""))),"")</f>
        <v/>
      </c>
      <c r="K81" s="6" t="str">
        <f>IF(B81&lt;&gt;"",IF(AND(Input!$H$55="Annual",MOD(B81,12)=0),Input!$J$55,IF(AND(Input!$H$55="1st Installment",B81=1),Input!$J$55,IF(Input!$H$55="Monthly",Input!$J$55,""))),"")</f>
        <v/>
      </c>
      <c r="L81" s="6">
        <f>IF(B81&lt;&gt;"",IF(AND(Input!$H$56="Annual",MOD(B81,12)=0),Input!$J$56,IF(AND(Input!$H$56="1st Installment",B81=1),Input!$J$56,IF(Input!$H$56="Monthly",Input!$J$56,""))),"")</f>
        <v>208.33333333333334</v>
      </c>
      <c r="M81" s="6" t="str">
        <f>IF(B81&lt;&gt;"",IF(AND(Input!$H$57="Annual",MOD(B81,12)=0),Input!$J$57,IF(AND(Input!$H$57="1st Installment",B81=1),Input!$J$57,IF(Input!$H$57="Monthly",Input!$J$57,""))),"")</f>
        <v/>
      </c>
      <c r="N81" s="6" t="str">
        <f>IF(B81&lt;&gt;"",IF(AND(Input!$H$58="Annual",MOD(B81,12)=0),Input!$J$58,IF(AND(Input!$H$58="1st Installment",B81=1),Input!$J$58,IF(Input!$H$58="Monthly",Input!$J$58,IF(AND(Input!$H$58="End of the loan",B81=Input!$E$58),Input!$J$58,"")))),"")</f>
        <v/>
      </c>
      <c r="O81" s="6">
        <f t="shared" ref="O81:O144" si="10">IF(B81&lt;&gt;"",SUM(J81:N81),"")</f>
        <v>208.33333333333334</v>
      </c>
      <c r="P81" s="4">
        <f t="shared" ref="P81:P144" si="11">IF(B81&lt;&gt;"",(-H81+O81),"")</f>
        <v>10525.868335503435</v>
      </c>
      <c r="T81" s="9">
        <f t="shared" si="2"/>
        <v>47238</v>
      </c>
      <c r="U81" s="5">
        <f t="shared" si="3"/>
        <v>10525.87</v>
      </c>
    </row>
    <row r="82" spans="2:21" x14ac:dyDescent="0.2">
      <c r="B82" s="181">
        <f t="shared" si="6"/>
        <v>65</v>
      </c>
      <c r="C82" s="162">
        <f t="shared" si="7"/>
        <v>47268</v>
      </c>
      <c r="D82" s="6">
        <f>IFERROR((PPMT(Input!$E$55/12,B82,$C$6,Input!$E$54,-Input!$E$65,0))," ")</f>
        <v>-3998.8044203794902</v>
      </c>
      <c r="E82" s="6">
        <f>IFERROR(((IPMT(Input!$E$55/12,B82,$C$6,Input!$E$54,-Input!$E$65,0)))," ")</f>
        <v>-6318.7305817906108</v>
      </c>
      <c r="F82" s="6">
        <f t="shared" si="9"/>
        <v>-225366.67748424588</v>
      </c>
      <c r="G82" s="6">
        <f t="shared" si="8"/>
        <v>-445273.0976568106</v>
      </c>
      <c r="H82" s="6">
        <f t="shared" si="4"/>
        <v>-10317.535002170102</v>
      </c>
      <c r="I82" s="6">
        <f t="shared" si="5"/>
        <v>1374633.322515754</v>
      </c>
      <c r="J82" s="6" t="str">
        <f>IF(B82&lt;&gt;"",IF(AND(Input!$H$54="Annual",MOD(B82,12)=0),Input!$J$54,IF(AND(Input!$H$54="1st Installment",B82=1),Input!$J$54,IF(Input!$H$54="Monthly",Input!$J$54,""))),"")</f>
        <v/>
      </c>
      <c r="K82" s="6" t="str">
        <f>IF(B82&lt;&gt;"",IF(AND(Input!$H$55="Annual",MOD(B82,12)=0),Input!$J$55,IF(AND(Input!$H$55="1st Installment",B82=1),Input!$J$55,IF(Input!$H$55="Monthly",Input!$J$55,""))),"")</f>
        <v/>
      </c>
      <c r="L82" s="6">
        <f>IF(B82&lt;&gt;"",IF(AND(Input!$H$56="Annual",MOD(B82,12)=0),Input!$J$56,IF(AND(Input!$H$56="1st Installment",B82=1),Input!$J$56,IF(Input!$H$56="Monthly",Input!$J$56,""))),"")</f>
        <v>208.33333333333334</v>
      </c>
      <c r="M82" s="6" t="str">
        <f>IF(B82&lt;&gt;"",IF(AND(Input!$H$57="Annual",MOD(B82,12)=0),Input!$J$57,IF(AND(Input!$H$57="1st Installment",B82=1),Input!$J$57,IF(Input!$H$57="Monthly",Input!$J$57,""))),"")</f>
        <v/>
      </c>
      <c r="N82" s="6" t="str">
        <f>IF(B82&lt;&gt;"",IF(AND(Input!$H$58="Annual",MOD(B82,12)=0),Input!$J$58,IF(AND(Input!$H$58="1st Installment",B82=1),Input!$J$58,IF(Input!$H$58="Monthly",Input!$J$58,IF(AND(Input!$H$58="End of the loan",B82=Input!$E$58),Input!$J$58,"")))),"")</f>
        <v/>
      </c>
      <c r="O82" s="6">
        <f t="shared" si="10"/>
        <v>208.33333333333334</v>
      </c>
      <c r="P82" s="4">
        <f t="shared" si="11"/>
        <v>10525.868335503435</v>
      </c>
      <c r="T82" s="9">
        <f t="shared" ref="T82:T145" si="12">C82</f>
        <v>47268</v>
      </c>
      <c r="U82" s="5">
        <f t="shared" ref="U82:U145" si="13">IFERROR(ROUND(_xlfn.IFNA(VLOOKUP(T82,$C$18:$P$385,14,0),0),2)," ")</f>
        <v>10525.87</v>
      </c>
    </row>
    <row r="83" spans="2:21" x14ac:dyDescent="0.2">
      <c r="B83" s="181">
        <f t="shared" si="6"/>
        <v>66</v>
      </c>
      <c r="C83" s="162">
        <f t="shared" si="7"/>
        <v>47299</v>
      </c>
      <c r="D83" s="6">
        <f>IFERROR((PPMT(Input!$E$55/12,B83,$C$6,Input!$E$54,-Input!$E$65,0))," ")</f>
        <v>-4017.1322739728962</v>
      </c>
      <c r="E83" s="6">
        <f>IFERROR(((IPMT(Input!$E$55/12,B83,$C$6,Input!$E$54,-Input!$E$65,0)))," ")</f>
        <v>-6300.4027281972049</v>
      </c>
      <c r="F83" s="6">
        <f t="shared" si="9"/>
        <v>-229383.80975821879</v>
      </c>
      <c r="G83" s="6">
        <f t="shared" si="8"/>
        <v>-451573.50038500782</v>
      </c>
      <c r="H83" s="6">
        <f t="shared" ref="H83:H146" si="14">+IF(B83=$C$6,(-$C$13+IFERROR(D83+E83,"")),IFERROR(D83+E83,""))</f>
        <v>-10317.535002170102</v>
      </c>
      <c r="I83" s="6">
        <f t="shared" ref="I83:I146" si="15">+IFERROR($C$8+F83,"")</f>
        <v>1370616.1902417813</v>
      </c>
      <c r="J83" s="6" t="str">
        <f>IF(B83&lt;&gt;"",IF(AND(Input!$H$54="Annual",MOD(B83,12)=0),Input!$J$54,IF(AND(Input!$H$54="1st Installment",B83=1),Input!$J$54,IF(Input!$H$54="Monthly",Input!$J$54,""))),"")</f>
        <v/>
      </c>
      <c r="K83" s="6" t="str">
        <f>IF(B83&lt;&gt;"",IF(AND(Input!$H$55="Annual",MOD(B83,12)=0),Input!$J$55,IF(AND(Input!$H$55="1st Installment",B83=1),Input!$J$55,IF(Input!$H$55="Monthly",Input!$J$55,""))),"")</f>
        <v/>
      </c>
      <c r="L83" s="6">
        <f>IF(B83&lt;&gt;"",IF(AND(Input!$H$56="Annual",MOD(B83,12)=0),Input!$J$56,IF(AND(Input!$H$56="1st Installment",B83=1),Input!$J$56,IF(Input!$H$56="Monthly",Input!$J$56,""))),"")</f>
        <v>208.33333333333334</v>
      </c>
      <c r="M83" s="6" t="str">
        <f>IF(B83&lt;&gt;"",IF(AND(Input!$H$57="Annual",MOD(B83,12)=0),Input!$J$57,IF(AND(Input!$H$57="1st Installment",B83=1),Input!$J$57,IF(Input!$H$57="Monthly",Input!$J$57,""))),"")</f>
        <v/>
      </c>
      <c r="N83" s="6" t="str">
        <f>IF(B83&lt;&gt;"",IF(AND(Input!$H$58="Annual",MOD(B83,12)=0),Input!$J$58,IF(AND(Input!$H$58="1st Installment",B83=1),Input!$J$58,IF(Input!$H$58="Monthly",Input!$J$58,IF(AND(Input!$H$58="End of the loan",B83=Input!$E$58),Input!$J$58,"")))),"")</f>
        <v/>
      </c>
      <c r="O83" s="6">
        <f t="shared" si="10"/>
        <v>208.33333333333334</v>
      </c>
      <c r="P83" s="4">
        <f t="shared" si="11"/>
        <v>10525.868335503435</v>
      </c>
      <c r="T83" s="9">
        <f t="shared" si="12"/>
        <v>47299</v>
      </c>
      <c r="U83" s="5">
        <f t="shared" si="13"/>
        <v>10525.87</v>
      </c>
    </row>
    <row r="84" spans="2:21" x14ac:dyDescent="0.2">
      <c r="B84" s="181">
        <f t="shared" ref="B84:B147" si="16">IF(B83="","",IF((B83+1)&lt;=$C$6,B83+1,""))</f>
        <v>67</v>
      </c>
      <c r="C84" s="162">
        <f t="shared" ref="C84:C147" si="17">IF(B84="","",EDATE($C$18,(B84-1)))</f>
        <v>47329</v>
      </c>
      <c r="D84" s="6">
        <f>IFERROR((PPMT(Input!$E$55/12,B84,$C$6,Input!$E$54,-Input!$E$65,0))," ")</f>
        <v>-4035.5441302286054</v>
      </c>
      <c r="E84" s="6">
        <f>IFERROR(((IPMT(Input!$E$55/12,B84,$C$6,Input!$E$54,-Input!$E$65,0)))," ")</f>
        <v>-6281.9908719414952</v>
      </c>
      <c r="F84" s="6">
        <f t="shared" si="9"/>
        <v>-233419.3538884474</v>
      </c>
      <c r="G84" s="6">
        <f t="shared" ref="G84:G147" si="18">IF(B84&lt;=$C$6,G83+E84,"")</f>
        <v>-457855.49125694932</v>
      </c>
      <c r="H84" s="6">
        <f t="shared" si="14"/>
        <v>-10317.535002170102</v>
      </c>
      <c r="I84" s="6">
        <f t="shared" si="15"/>
        <v>1366580.6461115526</v>
      </c>
      <c r="J84" s="6" t="str">
        <f>IF(B84&lt;&gt;"",IF(AND(Input!$H$54="Annual",MOD(B84,12)=0),Input!$J$54,IF(AND(Input!$H$54="1st Installment",B84=1),Input!$J$54,IF(Input!$H$54="Monthly",Input!$J$54,""))),"")</f>
        <v/>
      </c>
      <c r="K84" s="6" t="str">
        <f>IF(B84&lt;&gt;"",IF(AND(Input!$H$55="Annual",MOD(B84,12)=0),Input!$J$55,IF(AND(Input!$H$55="1st Installment",B84=1),Input!$J$55,IF(Input!$H$55="Monthly",Input!$J$55,""))),"")</f>
        <v/>
      </c>
      <c r="L84" s="6">
        <f>IF(B84&lt;&gt;"",IF(AND(Input!$H$56="Annual",MOD(B84,12)=0),Input!$J$56,IF(AND(Input!$H$56="1st Installment",B84=1),Input!$J$56,IF(Input!$H$56="Monthly",Input!$J$56,""))),"")</f>
        <v>208.33333333333334</v>
      </c>
      <c r="M84" s="6" t="str">
        <f>IF(B84&lt;&gt;"",IF(AND(Input!$H$57="Annual",MOD(B84,12)=0),Input!$J$57,IF(AND(Input!$H$57="1st Installment",B84=1),Input!$J$57,IF(Input!$H$57="Monthly",Input!$J$57,""))),"")</f>
        <v/>
      </c>
      <c r="N84" s="6" t="str">
        <f>IF(B84&lt;&gt;"",IF(AND(Input!$H$58="Annual",MOD(B84,12)=0),Input!$J$58,IF(AND(Input!$H$58="1st Installment",B84=1),Input!$J$58,IF(Input!$H$58="Monthly",Input!$J$58,IF(AND(Input!$H$58="End of the loan",B84=Input!$E$58),Input!$J$58,"")))),"")</f>
        <v/>
      </c>
      <c r="O84" s="6">
        <f t="shared" si="10"/>
        <v>208.33333333333334</v>
      </c>
      <c r="P84" s="4">
        <f t="shared" si="11"/>
        <v>10525.868335503435</v>
      </c>
      <c r="T84" s="9">
        <f t="shared" si="12"/>
        <v>47329</v>
      </c>
      <c r="U84" s="5">
        <f t="shared" si="13"/>
        <v>10525.87</v>
      </c>
    </row>
    <row r="85" spans="2:21" x14ac:dyDescent="0.2">
      <c r="B85" s="181">
        <f t="shared" si="16"/>
        <v>68</v>
      </c>
      <c r="C85" s="162">
        <f t="shared" si="17"/>
        <v>47360</v>
      </c>
      <c r="D85" s="6">
        <f>IFERROR((PPMT(Input!$E$55/12,B85,$C$6,Input!$E$54,-Input!$E$65,0))," ")</f>
        <v>-4054.0403741588198</v>
      </c>
      <c r="E85" s="6">
        <f>IFERROR(((IPMT(Input!$E$55/12,B85,$C$6,Input!$E$54,-Input!$E$65,0)))," ")</f>
        <v>-6263.4946280112808</v>
      </c>
      <c r="F85" s="6">
        <f t="shared" ref="F85:F148" si="19">IF(B85&lt;=$C$6,F84+D85,"")</f>
        <v>-237473.39426260622</v>
      </c>
      <c r="G85" s="6">
        <f t="shared" si="18"/>
        <v>-464118.98588496062</v>
      </c>
      <c r="H85" s="6">
        <f t="shared" si="14"/>
        <v>-10317.535002170102</v>
      </c>
      <c r="I85" s="6">
        <f t="shared" si="15"/>
        <v>1362526.6057373937</v>
      </c>
      <c r="J85" s="6" t="str">
        <f>IF(B85&lt;&gt;"",IF(AND(Input!$H$54="Annual",MOD(B85,12)=0),Input!$J$54,IF(AND(Input!$H$54="1st Installment",B85=1),Input!$J$54,IF(Input!$H$54="Monthly",Input!$J$54,""))),"")</f>
        <v/>
      </c>
      <c r="K85" s="6" t="str">
        <f>IF(B85&lt;&gt;"",IF(AND(Input!$H$55="Annual",MOD(B85,12)=0),Input!$J$55,IF(AND(Input!$H$55="1st Installment",B85=1),Input!$J$55,IF(Input!$H$55="Monthly",Input!$J$55,""))),"")</f>
        <v/>
      </c>
      <c r="L85" s="6">
        <f>IF(B85&lt;&gt;"",IF(AND(Input!$H$56="Annual",MOD(B85,12)=0),Input!$J$56,IF(AND(Input!$H$56="1st Installment",B85=1),Input!$J$56,IF(Input!$H$56="Monthly",Input!$J$56,""))),"")</f>
        <v>208.33333333333334</v>
      </c>
      <c r="M85" s="6" t="str">
        <f>IF(B85&lt;&gt;"",IF(AND(Input!$H$57="Annual",MOD(B85,12)=0),Input!$J$57,IF(AND(Input!$H$57="1st Installment",B85=1),Input!$J$57,IF(Input!$H$57="Monthly",Input!$J$57,""))),"")</f>
        <v/>
      </c>
      <c r="N85" s="6" t="str">
        <f>IF(B85&lt;&gt;"",IF(AND(Input!$H$58="Annual",MOD(B85,12)=0),Input!$J$58,IF(AND(Input!$H$58="1st Installment",B85=1),Input!$J$58,IF(Input!$H$58="Monthly",Input!$J$58,IF(AND(Input!$H$58="End of the loan",B85=Input!$E$58),Input!$J$58,"")))),"")</f>
        <v/>
      </c>
      <c r="O85" s="6">
        <f t="shared" si="10"/>
        <v>208.33333333333334</v>
      </c>
      <c r="P85" s="4">
        <f t="shared" si="11"/>
        <v>10525.868335503435</v>
      </c>
      <c r="T85" s="9">
        <f t="shared" si="12"/>
        <v>47360</v>
      </c>
      <c r="U85" s="5">
        <f t="shared" si="13"/>
        <v>10525.87</v>
      </c>
    </row>
    <row r="86" spans="2:21" x14ac:dyDescent="0.2">
      <c r="B86" s="181">
        <f t="shared" si="16"/>
        <v>69</v>
      </c>
      <c r="C86" s="162">
        <f t="shared" si="17"/>
        <v>47391</v>
      </c>
      <c r="D86" s="6">
        <f>IFERROR((PPMT(Input!$E$55/12,B86,$C$6,Input!$E$54,-Input!$E$65,0))," ")</f>
        <v>-4072.6213925403813</v>
      </c>
      <c r="E86" s="6">
        <f>IFERROR(((IPMT(Input!$E$55/12,B86,$C$6,Input!$E$54,-Input!$E$65,0)))," ")</f>
        <v>-6244.9136096297198</v>
      </c>
      <c r="F86" s="6">
        <f t="shared" si="19"/>
        <v>-241546.01565514659</v>
      </c>
      <c r="G86" s="6">
        <f t="shared" si="18"/>
        <v>-470363.89949459035</v>
      </c>
      <c r="H86" s="6">
        <f t="shared" si="14"/>
        <v>-10317.535002170102</v>
      </c>
      <c r="I86" s="6">
        <f t="shared" si="15"/>
        <v>1358453.9843448533</v>
      </c>
      <c r="J86" s="6" t="str">
        <f>IF(B86&lt;&gt;"",IF(AND(Input!$H$54="Annual",MOD(B86,12)=0),Input!$J$54,IF(AND(Input!$H$54="1st Installment",B86=1),Input!$J$54,IF(Input!$H$54="Monthly",Input!$J$54,""))),"")</f>
        <v/>
      </c>
      <c r="K86" s="6" t="str">
        <f>IF(B86&lt;&gt;"",IF(AND(Input!$H$55="Annual",MOD(B86,12)=0),Input!$J$55,IF(AND(Input!$H$55="1st Installment",B86=1),Input!$J$55,IF(Input!$H$55="Monthly",Input!$J$55,""))),"")</f>
        <v/>
      </c>
      <c r="L86" s="6">
        <f>IF(B86&lt;&gt;"",IF(AND(Input!$H$56="Annual",MOD(B86,12)=0),Input!$J$56,IF(AND(Input!$H$56="1st Installment",B86=1),Input!$J$56,IF(Input!$H$56="Monthly",Input!$J$56,""))),"")</f>
        <v>208.33333333333334</v>
      </c>
      <c r="M86" s="6" t="str">
        <f>IF(B86&lt;&gt;"",IF(AND(Input!$H$57="Annual",MOD(B86,12)=0),Input!$J$57,IF(AND(Input!$H$57="1st Installment",B86=1),Input!$J$57,IF(Input!$H$57="Monthly",Input!$J$57,""))),"")</f>
        <v/>
      </c>
      <c r="N86" s="6" t="str">
        <f>IF(B86&lt;&gt;"",IF(AND(Input!$H$58="Annual",MOD(B86,12)=0),Input!$J$58,IF(AND(Input!$H$58="1st Installment",B86=1),Input!$J$58,IF(Input!$H$58="Monthly",Input!$J$58,IF(AND(Input!$H$58="End of the loan",B86=Input!$E$58),Input!$J$58,"")))),"")</f>
        <v/>
      </c>
      <c r="O86" s="6">
        <f t="shared" si="10"/>
        <v>208.33333333333334</v>
      </c>
      <c r="P86" s="4">
        <f t="shared" si="11"/>
        <v>10525.868335503435</v>
      </c>
      <c r="T86" s="9">
        <f t="shared" si="12"/>
        <v>47391</v>
      </c>
      <c r="U86" s="5">
        <f t="shared" si="13"/>
        <v>10525.87</v>
      </c>
    </row>
    <row r="87" spans="2:21" x14ac:dyDescent="0.2">
      <c r="B87" s="181">
        <f t="shared" si="16"/>
        <v>70</v>
      </c>
      <c r="C87" s="162">
        <f t="shared" si="17"/>
        <v>47421</v>
      </c>
      <c r="D87" s="6">
        <f>IFERROR((PPMT(Input!$E$55/12,B87,$C$6,Input!$E$54,-Input!$E$65,0))," ")</f>
        <v>-4091.287573922858</v>
      </c>
      <c r="E87" s="6">
        <f>IFERROR(((IPMT(Input!$E$55/12,B87,$C$6,Input!$E$54,-Input!$E$65,0)))," ")</f>
        <v>-6226.2474282472431</v>
      </c>
      <c r="F87" s="6">
        <f t="shared" si="19"/>
        <v>-245637.30322906945</v>
      </c>
      <c r="G87" s="6">
        <f t="shared" si="18"/>
        <v>-476590.14692283759</v>
      </c>
      <c r="H87" s="6">
        <f t="shared" si="14"/>
        <v>-10317.535002170102</v>
      </c>
      <c r="I87" s="6">
        <f t="shared" si="15"/>
        <v>1354362.6967709307</v>
      </c>
      <c r="J87" s="6" t="str">
        <f>IF(B87&lt;&gt;"",IF(AND(Input!$H$54="Annual",MOD(B87,12)=0),Input!$J$54,IF(AND(Input!$H$54="1st Installment",B87=1),Input!$J$54,IF(Input!$H$54="Monthly",Input!$J$54,""))),"")</f>
        <v/>
      </c>
      <c r="K87" s="6" t="str">
        <f>IF(B87&lt;&gt;"",IF(AND(Input!$H$55="Annual",MOD(B87,12)=0),Input!$J$55,IF(AND(Input!$H$55="1st Installment",B87=1),Input!$J$55,IF(Input!$H$55="Monthly",Input!$J$55,""))),"")</f>
        <v/>
      </c>
      <c r="L87" s="6">
        <f>IF(B87&lt;&gt;"",IF(AND(Input!$H$56="Annual",MOD(B87,12)=0),Input!$J$56,IF(AND(Input!$H$56="1st Installment",B87=1),Input!$J$56,IF(Input!$H$56="Monthly",Input!$J$56,""))),"")</f>
        <v>208.33333333333334</v>
      </c>
      <c r="M87" s="6" t="str">
        <f>IF(B87&lt;&gt;"",IF(AND(Input!$H$57="Annual",MOD(B87,12)=0),Input!$J$57,IF(AND(Input!$H$57="1st Installment",B87=1),Input!$J$57,IF(Input!$H$57="Monthly",Input!$J$57,""))),"")</f>
        <v/>
      </c>
      <c r="N87" s="6" t="str">
        <f>IF(B87&lt;&gt;"",IF(AND(Input!$H$58="Annual",MOD(B87,12)=0),Input!$J$58,IF(AND(Input!$H$58="1st Installment",B87=1),Input!$J$58,IF(Input!$H$58="Monthly",Input!$J$58,IF(AND(Input!$H$58="End of the loan",B87=Input!$E$58),Input!$J$58,"")))),"")</f>
        <v/>
      </c>
      <c r="O87" s="6">
        <f t="shared" si="10"/>
        <v>208.33333333333334</v>
      </c>
      <c r="P87" s="4">
        <f t="shared" si="11"/>
        <v>10525.868335503435</v>
      </c>
      <c r="T87" s="9">
        <f t="shared" si="12"/>
        <v>47421</v>
      </c>
      <c r="U87" s="5">
        <f t="shared" si="13"/>
        <v>10525.87</v>
      </c>
    </row>
    <row r="88" spans="2:21" x14ac:dyDescent="0.2">
      <c r="B88" s="181">
        <f t="shared" si="16"/>
        <v>71</v>
      </c>
      <c r="C88" s="162">
        <f t="shared" si="17"/>
        <v>47452</v>
      </c>
      <c r="D88" s="6">
        <f>IFERROR((PPMT(Input!$E$55/12,B88,$C$6,Input!$E$54,-Input!$E$65,0))," ")</f>
        <v>-4110.0393086366712</v>
      </c>
      <c r="E88" s="6">
        <f>IFERROR(((IPMT(Input!$E$55/12,B88,$C$6,Input!$E$54,-Input!$E$65,0)))," ")</f>
        <v>-6207.4956935334303</v>
      </c>
      <c r="F88" s="6">
        <f t="shared" si="19"/>
        <v>-249747.34253770614</v>
      </c>
      <c r="G88" s="6">
        <f t="shared" si="18"/>
        <v>-482797.64261637104</v>
      </c>
      <c r="H88" s="6">
        <f t="shared" si="14"/>
        <v>-10317.535002170102</v>
      </c>
      <c r="I88" s="6">
        <f t="shared" si="15"/>
        <v>1350252.6574622937</v>
      </c>
      <c r="J88" s="6" t="str">
        <f>IF(B88&lt;&gt;"",IF(AND(Input!$H$54="Annual",MOD(B88,12)=0),Input!$J$54,IF(AND(Input!$H$54="1st Installment",B88=1),Input!$J$54,IF(Input!$H$54="Monthly",Input!$J$54,""))),"")</f>
        <v/>
      </c>
      <c r="K88" s="6" t="str">
        <f>IF(B88&lt;&gt;"",IF(AND(Input!$H$55="Annual",MOD(B88,12)=0),Input!$J$55,IF(AND(Input!$H$55="1st Installment",B88=1),Input!$J$55,IF(Input!$H$55="Monthly",Input!$J$55,""))),"")</f>
        <v/>
      </c>
      <c r="L88" s="6">
        <f>IF(B88&lt;&gt;"",IF(AND(Input!$H$56="Annual",MOD(B88,12)=0),Input!$J$56,IF(AND(Input!$H$56="1st Installment",B88=1),Input!$J$56,IF(Input!$H$56="Monthly",Input!$J$56,""))),"")</f>
        <v>208.33333333333334</v>
      </c>
      <c r="M88" s="6" t="str">
        <f>IF(B88&lt;&gt;"",IF(AND(Input!$H$57="Annual",MOD(B88,12)=0),Input!$J$57,IF(AND(Input!$H$57="1st Installment",B88=1),Input!$J$57,IF(Input!$H$57="Monthly",Input!$J$57,""))),"")</f>
        <v/>
      </c>
      <c r="N88" s="6" t="str">
        <f>IF(B88&lt;&gt;"",IF(AND(Input!$H$58="Annual",MOD(B88,12)=0),Input!$J$58,IF(AND(Input!$H$58="1st Installment",B88=1),Input!$J$58,IF(Input!$H$58="Monthly",Input!$J$58,IF(AND(Input!$H$58="End of the loan",B88=Input!$E$58),Input!$J$58,"")))),"")</f>
        <v/>
      </c>
      <c r="O88" s="6">
        <f t="shared" si="10"/>
        <v>208.33333333333334</v>
      </c>
      <c r="P88" s="4">
        <f t="shared" si="11"/>
        <v>10525.868335503435</v>
      </c>
      <c r="T88" s="9">
        <f t="shared" si="12"/>
        <v>47452</v>
      </c>
      <c r="U88" s="5">
        <f t="shared" si="13"/>
        <v>10525.87</v>
      </c>
    </row>
    <row r="89" spans="2:21" x14ac:dyDescent="0.2">
      <c r="B89" s="181">
        <f t="shared" si="16"/>
        <v>72</v>
      </c>
      <c r="C89" s="162">
        <f t="shared" si="17"/>
        <v>47482</v>
      </c>
      <c r="D89" s="6">
        <f>IFERROR((PPMT(Input!$E$55/12,B89,$C$6,Input!$E$54,-Input!$E$65,0))," ")</f>
        <v>-4128.8769888012557</v>
      </c>
      <c r="E89" s="6">
        <f>IFERROR(((IPMT(Input!$E$55/12,B89,$C$6,Input!$E$54,-Input!$E$65,0)))," ")</f>
        <v>-6188.6580133688449</v>
      </c>
      <c r="F89" s="6">
        <f t="shared" si="19"/>
        <v>-253876.2195265074</v>
      </c>
      <c r="G89" s="6">
        <f t="shared" si="18"/>
        <v>-488986.30062973988</v>
      </c>
      <c r="H89" s="6">
        <f t="shared" si="14"/>
        <v>-10317.535002170102</v>
      </c>
      <c r="I89" s="6">
        <f t="shared" si="15"/>
        <v>1346123.7804734926</v>
      </c>
      <c r="J89" s="6" t="str">
        <f>IF(B89&lt;&gt;"",IF(AND(Input!$H$54="Annual",MOD(B89,12)=0),Input!$J$54,IF(AND(Input!$H$54="1st Installment",B89=1),Input!$J$54,IF(Input!$H$54="Monthly",Input!$J$54,""))),"")</f>
        <v/>
      </c>
      <c r="K89" s="6">
        <f>IF(B89&lt;&gt;"",IF(AND(Input!$H$55="Annual",MOD(B89,12)=0),Input!$J$55,IF(AND(Input!$H$55="1st Installment",B89=1),Input!$J$55,IF(Input!$H$55="Monthly",Input!$J$55,""))),"")</f>
        <v>0</v>
      </c>
      <c r="L89" s="6">
        <f>IF(B89&lt;&gt;"",IF(AND(Input!$H$56="Annual",MOD(B89,12)=0),Input!$J$56,IF(AND(Input!$H$56="1st Installment",B89=1),Input!$J$56,IF(Input!$H$56="Monthly",Input!$J$56,""))),"")</f>
        <v>208.33333333333334</v>
      </c>
      <c r="M89" s="6" t="str">
        <f>IF(B89&lt;&gt;"",IF(AND(Input!$H$57="Annual",MOD(B89,12)=0),Input!$J$57,IF(AND(Input!$H$57="1st Installment",B89=1),Input!$J$57,IF(Input!$H$57="Monthly",Input!$J$57,""))),"")</f>
        <v/>
      </c>
      <c r="N89" s="6">
        <f>IF(B89&lt;&gt;"",IF(AND(Input!$H$58="Annual",MOD(B89,12)=0),Input!$J$58,IF(AND(Input!$H$58="1st Installment",B89=1),Input!$J$58,IF(Input!$H$58="Monthly",Input!$J$58,IF(AND(Input!$H$58="End of the loan",B89=Input!$E$58),Input!$J$58,"")))),"")</f>
        <v>0</v>
      </c>
      <c r="O89" s="6">
        <f t="shared" si="10"/>
        <v>208.33333333333334</v>
      </c>
      <c r="P89" s="4">
        <f t="shared" si="11"/>
        <v>10525.868335503435</v>
      </c>
      <c r="T89" s="9">
        <f t="shared" si="12"/>
        <v>47482</v>
      </c>
      <c r="U89" s="5">
        <f t="shared" si="13"/>
        <v>10525.87</v>
      </c>
    </row>
    <row r="90" spans="2:21" x14ac:dyDescent="0.2">
      <c r="B90" s="181">
        <f t="shared" si="16"/>
        <v>73</v>
      </c>
      <c r="C90" s="162">
        <f t="shared" si="17"/>
        <v>47513</v>
      </c>
      <c r="D90" s="6">
        <f>IFERROR((PPMT(Input!$E$55/12,B90,$C$6,Input!$E$54,-Input!$E$65,0))," ")</f>
        <v>-4147.801008333262</v>
      </c>
      <c r="E90" s="6">
        <f>IFERROR(((IPMT(Input!$E$55/12,B90,$C$6,Input!$E$54,-Input!$E$65,0)))," ")</f>
        <v>-6169.7339938368414</v>
      </c>
      <c r="F90" s="6">
        <f t="shared" si="19"/>
        <v>-258024.02053484065</v>
      </c>
      <c r="G90" s="6">
        <f t="shared" si="18"/>
        <v>-495156.03462357674</v>
      </c>
      <c r="H90" s="6">
        <f t="shared" si="14"/>
        <v>-10317.535002170103</v>
      </c>
      <c r="I90" s="6">
        <f t="shared" si="15"/>
        <v>1341975.9794651594</v>
      </c>
      <c r="J90" s="6" t="str">
        <f>IF(B90&lt;&gt;"",IF(AND(Input!$H$54="Annual",MOD(B90,12)=0),Input!$J$54,IF(AND(Input!$H$54="1st Installment",B90=1),Input!$J$54,IF(Input!$H$54="Monthly",Input!$J$54,""))),"")</f>
        <v/>
      </c>
      <c r="K90" s="6" t="str">
        <f>IF(B90&lt;&gt;"",IF(AND(Input!$H$55="Annual",MOD(B90,12)=0),Input!$J$55,IF(AND(Input!$H$55="1st Installment",B90=1),Input!$J$55,IF(Input!$H$55="Monthly",Input!$J$55,""))),"")</f>
        <v/>
      </c>
      <c r="L90" s="6">
        <f>IF(B90&lt;&gt;"",IF(AND(Input!$H$56="Annual",MOD(B90,12)=0),Input!$J$56,IF(AND(Input!$H$56="1st Installment",B90=1),Input!$J$56,IF(Input!$H$56="Monthly",Input!$J$56,""))),"")</f>
        <v>208.33333333333334</v>
      </c>
      <c r="M90" s="6" t="str">
        <f>IF(B90&lt;&gt;"",IF(AND(Input!$H$57="Annual",MOD(B90,12)=0),Input!$J$57,IF(AND(Input!$H$57="1st Installment",B90=1),Input!$J$57,IF(Input!$H$57="Monthly",Input!$J$57,""))),"")</f>
        <v/>
      </c>
      <c r="N90" s="6" t="str">
        <f>IF(B90&lt;&gt;"",IF(AND(Input!$H$58="Annual",MOD(B90,12)=0),Input!$J$58,IF(AND(Input!$H$58="1st Installment",B90=1),Input!$J$58,IF(Input!$H$58="Monthly",Input!$J$58,IF(AND(Input!$H$58="End of the loan",B90=Input!$E$58),Input!$J$58,"")))),"")</f>
        <v/>
      </c>
      <c r="O90" s="6">
        <f t="shared" si="10"/>
        <v>208.33333333333334</v>
      </c>
      <c r="P90" s="4">
        <f t="shared" si="11"/>
        <v>10525.868335503437</v>
      </c>
      <c r="T90" s="9">
        <f t="shared" si="12"/>
        <v>47513</v>
      </c>
      <c r="U90" s="5">
        <f t="shared" si="13"/>
        <v>10525.87</v>
      </c>
    </row>
    <row r="91" spans="2:21" x14ac:dyDescent="0.2">
      <c r="B91" s="181">
        <f t="shared" si="16"/>
        <v>74</v>
      </c>
      <c r="C91" s="162">
        <f t="shared" si="17"/>
        <v>47542</v>
      </c>
      <c r="D91" s="6">
        <f>IFERROR((PPMT(Input!$E$55/12,B91,$C$6,Input!$E$54,-Input!$E$65,0))," ")</f>
        <v>-4166.8117629547887</v>
      </c>
      <c r="E91" s="6">
        <f>IFERROR(((IPMT(Input!$E$55/12,B91,$C$6,Input!$E$54,-Input!$E$65,0)))," ")</f>
        <v>-6150.7232392153128</v>
      </c>
      <c r="F91" s="6">
        <f t="shared" si="19"/>
        <v>-262190.83229779545</v>
      </c>
      <c r="G91" s="6">
        <f t="shared" si="18"/>
        <v>-501306.75786279206</v>
      </c>
      <c r="H91" s="6">
        <f t="shared" si="14"/>
        <v>-10317.535002170102</v>
      </c>
      <c r="I91" s="6">
        <f t="shared" si="15"/>
        <v>1337809.1677022045</v>
      </c>
      <c r="J91" s="6" t="str">
        <f>IF(B91&lt;&gt;"",IF(AND(Input!$H$54="Annual",MOD(B91,12)=0),Input!$J$54,IF(AND(Input!$H$54="1st Installment",B91=1),Input!$J$54,IF(Input!$H$54="Monthly",Input!$J$54,""))),"")</f>
        <v/>
      </c>
      <c r="K91" s="6" t="str">
        <f>IF(B91&lt;&gt;"",IF(AND(Input!$H$55="Annual",MOD(B91,12)=0),Input!$J$55,IF(AND(Input!$H$55="1st Installment",B91=1),Input!$J$55,IF(Input!$H$55="Monthly",Input!$J$55,""))),"")</f>
        <v/>
      </c>
      <c r="L91" s="6">
        <f>IF(B91&lt;&gt;"",IF(AND(Input!$H$56="Annual",MOD(B91,12)=0),Input!$J$56,IF(AND(Input!$H$56="1st Installment",B91=1),Input!$J$56,IF(Input!$H$56="Monthly",Input!$J$56,""))),"")</f>
        <v>208.33333333333334</v>
      </c>
      <c r="M91" s="6" t="str">
        <f>IF(B91&lt;&gt;"",IF(AND(Input!$H$57="Annual",MOD(B91,12)=0),Input!$J$57,IF(AND(Input!$H$57="1st Installment",B91=1),Input!$J$57,IF(Input!$H$57="Monthly",Input!$J$57,""))),"")</f>
        <v/>
      </c>
      <c r="N91" s="6" t="str">
        <f>IF(B91&lt;&gt;"",IF(AND(Input!$H$58="Annual",MOD(B91,12)=0),Input!$J$58,IF(AND(Input!$H$58="1st Installment",B91=1),Input!$J$58,IF(Input!$H$58="Monthly",Input!$J$58,IF(AND(Input!$H$58="End of the loan",B91=Input!$E$58),Input!$J$58,"")))),"")</f>
        <v/>
      </c>
      <c r="O91" s="6">
        <f t="shared" si="10"/>
        <v>208.33333333333334</v>
      </c>
      <c r="P91" s="4">
        <f t="shared" si="11"/>
        <v>10525.868335503435</v>
      </c>
      <c r="T91" s="9">
        <f t="shared" si="12"/>
        <v>47542</v>
      </c>
      <c r="U91" s="5">
        <f t="shared" si="13"/>
        <v>10525.87</v>
      </c>
    </row>
    <row r="92" spans="2:21" x14ac:dyDescent="0.2">
      <c r="B92" s="181">
        <f t="shared" si="16"/>
        <v>75</v>
      </c>
      <c r="C92" s="162">
        <f t="shared" si="17"/>
        <v>47572</v>
      </c>
      <c r="D92" s="6">
        <f>IFERROR((PPMT(Input!$E$55/12,B92,$C$6,Input!$E$54,-Input!$E$65,0))," ")</f>
        <v>-4185.9096502016646</v>
      </c>
      <c r="E92" s="6">
        <f>IFERROR(((IPMT(Input!$E$55/12,B92,$C$6,Input!$E$54,-Input!$E$65,0)))," ")</f>
        <v>-6131.6253519684369</v>
      </c>
      <c r="F92" s="6">
        <f t="shared" si="19"/>
        <v>-266376.74194799713</v>
      </c>
      <c r="G92" s="6">
        <f t="shared" si="18"/>
        <v>-507438.38321476051</v>
      </c>
      <c r="H92" s="6">
        <f t="shared" si="14"/>
        <v>-10317.535002170102</v>
      </c>
      <c r="I92" s="6">
        <f t="shared" si="15"/>
        <v>1333623.2580520029</v>
      </c>
      <c r="J92" s="6" t="str">
        <f>IF(B92&lt;&gt;"",IF(AND(Input!$H$54="Annual",MOD(B92,12)=0),Input!$J$54,IF(AND(Input!$H$54="1st Installment",B92=1),Input!$J$54,IF(Input!$H$54="Monthly",Input!$J$54,""))),"")</f>
        <v/>
      </c>
      <c r="K92" s="6" t="str">
        <f>IF(B92&lt;&gt;"",IF(AND(Input!$H$55="Annual",MOD(B92,12)=0),Input!$J$55,IF(AND(Input!$H$55="1st Installment",B92=1),Input!$J$55,IF(Input!$H$55="Monthly",Input!$J$55,""))),"")</f>
        <v/>
      </c>
      <c r="L92" s="6">
        <f>IF(B92&lt;&gt;"",IF(AND(Input!$H$56="Annual",MOD(B92,12)=0),Input!$J$56,IF(AND(Input!$H$56="1st Installment",B92=1),Input!$J$56,IF(Input!$H$56="Monthly",Input!$J$56,""))),"")</f>
        <v>208.33333333333334</v>
      </c>
      <c r="M92" s="6" t="str">
        <f>IF(B92&lt;&gt;"",IF(AND(Input!$H$57="Annual",MOD(B92,12)=0),Input!$J$57,IF(AND(Input!$H$57="1st Installment",B92=1),Input!$J$57,IF(Input!$H$57="Monthly",Input!$J$57,""))),"")</f>
        <v/>
      </c>
      <c r="N92" s="6" t="str">
        <f>IF(B92&lt;&gt;"",IF(AND(Input!$H$58="Annual",MOD(B92,12)=0),Input!$J$58,IF(AND(Input!$H$58="1st Installment",B92=1),Input!$J$58,IF(Input!$H$58="Monthly",Input!$J$58,IF(AND(Input!$H$58="End of the loan",B92=Input!$E$58),Input!$J$58,"")))),"")</f>
        <v/>
      </c>
      <c r="O92" s="6">
        <f t="shared" si="10"/>
        <v>208.33333333333334</v>
      </c>
      <c r="P92" s="4">
        <f t="shared" si="11"/>
        <v>10525.868335503435</v>
      </c>
      <c r="T92" s="9">
        <f t="shared" si="12"/>
        <v>47572</v>
      </c>
      <c r="U92" s="5">
        <f t="shared" si="13"/>
        <v>10525.87</v>
      </c>
    </row>
    <row r="93" spans="2:21" x14ac:dyDescent="0.2">
      <c r="B93" s="181">
        <f t="shared" si="16"/>
        <v>76</v>
      </c>
      <c r="C93" s="162">
        <f t="shared" si="17"/>
        <v>47603</v>
      </c>
      <c r="D93" s="6">
        <f>IFERROR((PPMT(Input!$E$55/12,B93,$C$6,Input!$E$54,-Input!$E$65,0))," ")</f>
        <v>-4205.0950694317562</v>
      </c>
      <c r="E93" s="6">
        <f>IFERROR(((IPMT(Input!$E$55/12,B93,$C$6,Input!$E$54,-Input!$E$65,0)))," ")</f>
        <v>-6112.4399327383453</v>
      </c>
      <c r="F93" s="6">
        <f t="shared" si="19"/>
        <v>-270581.83701742889</v>
      </c>
      <c r="G93" s="6">
        <f t="shared" si="18"/>
        <v>-513550.82314749889</v>
      </c>
      <c r="H93" s="6">
        <f t="shared" si="14"/>
        <v>-10317.535002170102</v>
      </c>
      <c r="I93" s="6">
        <f t="shared" si="15"/>
        <v>1329418.1629825712</v>
      </c>
      <c r="J93" s="6" t="str">
        <f>IF(B93&lt;&gt;"",IF(AND(Input!$H$54="Annual",MOD(B93,12)=0),Input!$J$54,IF(AND(Input!$H$54="1st Installment",B93=1),Input!$J$54,IF(Input!$H$54="Monthly",Input!$J$54,""))),"")</f>
        <v/>
      </c>
      <c r="K93" s="6" t="str">
        <f>IF(B93&lt;&gt;"",IF(AND(Input!$H$55="Annual",MOD(B93,12)=0),Input!$J$55,IF(AND(Input!$H$55="1st Installment",B93=1),Input!$J$55,IF(Input!$H$55="Monthly",Input!$J$55,""))),"")</f>
        <v/>
      </c>
      <c r="L93" s="6">
        <f>IF(B93&lt;&gt;"",IF(AND(Input!$H$56="Annual",MOD(B93,12)=0),Input!$J$56,IF(AND(Input!$H$56="1st Installment",B93=1),Input!$J$56,IF(Input!$H$56="Monthly",Input!$J$56,""))),"")</f>
        <v>208.33333333333334</v>
      </c>
      <c r="M93" s="6" t="str">
        <f>IF(B93&lt;&gt;"",IF(AND(Input!$H$57="Annual",MOD(B93,12)=0),Input!$J$57,IF(AND(Input!$H$57="1st Installment",B93=1),Input!$J$57,IF(Input!$H$57="Monthly",Input!$J$57,""))),"")</f>
        <v/>
      </c>
      <c r="N93" s="6" t="str">
        <f>IF(B93&lt;&gt;"",IF(AND(Input!$H$58="Annual",MOD(B93,12)=0),Input!$J$58,IF(AND(Input!$H$58="1st Installment",B93=1),Input!$J$58,IF(Input!$H$58="Monthly",Input!$J$58,IF(AND(Input!$H$58="End of the loan",B93=Input!$E$58),Input!$J$58,"")))),"")</f>
        <v/>
      </c>
      <c r="O93" s="6">
        <f t="shared" si="10"/>
        <v>208.33333333333334</v>
      </c>
      <c r="P93" s="4">
        <f t="shared" si="11"/>
        <v>10525.868335503435</v>
      </c>
      <c r="T93" s="9">
        <f t="shared" si="12"/>
        <v>47603</v>
      </c>
      <c r="U93" s="5">
        <f t="shared" si="13"/>
        <v>10525.87</v>
      </c>
    </row>
    <row r="94" spans="2:21" x14ac:dyDescent="0.2">
      <c r="B94" s="181">
        <f t="shared" si="16"/>
        <v>77</v>
      </c>
      <c r="C94" s="162">
        <f t="shared" si="17"/>
        <v>47633</v>
      </c>
      <c r="D94" s="6">
        <f>IFERROR((PPMT(Input!$E$55/12,B94,$C$6,Input!$E$54,-Input!$E$65,0))," ")</f>
        <v>-4224.3684218333183</v>
      </c>
      <c r="E94" s="6">
        <f>IFERROR(((IPMT(Input!$E$55/12,B94,$C$6,Input!$E$54,-Input!$E$65,0)))," ")</f>
        <v>-6093.1665803367832</v>
      </c>
      <c r="F94" s="6">
        <f t="shared" si="19"/>
        <v>-274806.20543926221</v>
      </c>
      <c r="G94" s="6">
        <f t="shared" si="18"/>
        <v>-519643.98972783569</v>
      </c>
      <c r="H94" s="6">
        <f t="shared" si="14"/>
        <v>-10317.535002170102</v>
      </c>
      <c r="I94" s="6">
        <f t="shared" si="15"/>
        <v>1325193.7945607379</v>
      </c>
      <c r="J94" s="6" t="str">
        <f>IF(B94&lt;&gt;"",IF(AND(Input!$H$54="Annual",MOD(B94,12)=0),Input!$J$54,IF(AND(Input!$H$54="1st Installment",B94=1),Input!$J$54,IF(Input!$H$54="Monthly",Input!$J$54,""))),"")</f>
        <v/>
      </c>
      <c r="K94" s="6" t="str">
        <f>IF(B94&lt;&gt;"",IF(AND(Input!$H$55="Annual",MOD(B94,12)=0),Input!$J$55,IF(AND(Input!$H$55="1st Installment",B94=1),Input!$J$55,IF(Input!$H$55="Monthly",Input!$J$55,""))),"")</f>
        <v/>
      </c>
      <c r="L94" s="6">
        <f>IF(B94&lt;&gt;"",IF(AND(Input!$H$56="Annual",MOD(B94,12)=0),Input!$J$56,IF(AND(Input!$H$56="1st Installment",B94=1),Input!$J$56,IF(Input!$H$56="Monthly",Input!$J$56,""))),"")</f>
        <v>208.33333333333334</v>
      </c>
      <c r="M94" s="6" t="str">
        <f>IF(B94&lt;&gt;"",IF(AND(Input!$H$57="Annual",MOD(B94,12)=0),Input!$J$57,IF(AND(Input!$H$57="1st Installment",B94=1),Input!$J$57,IF(Input!$H$57="Monthly",Input!$J$57,""))),"")</f>
        <v/>
      </c>
      <c r="N94" s="6" t="str">
        <f>IF(B94&lt;&gt;"",IF(AND(Input!$H$58="Annual",MOD(B94,12)=0),Input!$J$58,IF(AND(Input!$H$58="1st Installment",B94=1),Input!$J$58,IF(Input!$H$58="Monthly",Input!$J$58,IF(AND(Input!$H$58="End of the loan",B94=Input!$E$58),Input!$J$58,"")))),"")</f>
        <v/>
      </c>
      <c r="O94" s="6">
        <f t="shared" si="10"/>
        <v>208.33333333333334</v>
      </c>
      <c r="P94" s="4">
        <f t="shared" si="11"/>
        <v>10525.868335503435</v>
      </c>
      <c r="T94" s="9">
        <f t="shared" si="12"/>
        <v>47633</v>
      </c>
      <c r="U94" s="5">
        <f t="shared" si="13"/>
        <v>10525.87</v>
      </c>
    </row>
    <row r="95" spans="2:21" x14ac:dyDescent="0.2">
      <c r="B95" s="181">
        <f t="shared" si="16"/>
        <v>78</v>
      </c>
      <c r="C95" s="162">
        <f t="shared" si="17"/>
        <v>47664</v>
      </c>
      <c r="D95" s="6">
        <f>IFERROR((PPMT(Input!$E$55/12,B95,$C$6,Input!$E$54,-Input!$E$65,0))," ")</f>
        <v>-4243.7301104333874</v>
      </c>
      <c r="E95" s="6">
        <f>IFERROR(((IPMT(Input!$E$55/12,B95,$C$6,Input!$E$54,-Input!$E$65,0)))," ")</f>
        <v>-6073.8048917367141</v>
      </c>
      <c r="F95" s="6">
        <f t="shared" si="19"/>
        <v>-279049.93554969557</v>
      </c>
      <c r="G95" s="6">
        <f t="shared" si="18"/>
        <v>-525717.79461957247</v>
      </c>
      <c r="H95" s="6">
        <f t="shared" si="14"/>
        <v>-10317.535002170102</v>
      </c>
      <c r="I95" s="6">
        <f t="shared" si="15"/>
        <v>1320950.0644503045</v>
      </c>
      <c r="J95" s="6" t="str">
        <f>IF(B95&lt;&gt;"",IF(AND(Input!$H$54="Annual",MOD(B95,12)=0),Input!$J$54,IF(AND(Input!$H$54="1st Installment",B95=1),Input!$J$54,IF(Input!$H$54="Monthly",Input!$J$54,""))),"")</f>
        <v/>
      </c>
      <c r="K95" s="6" t="str">
        <f>IF(B95&lt;&gt;"",IF(AND(Input!$H$55="Annual",MOD(B95,12)=0),Input!$J$55,IF(AND(Input!$H$55="1st Installment",B95=1),Input!$J$55,IF(Input!$H$55="Monthly",Input!$J$55,""))),"")</f>
        <v/>
      </c>
      <c r="L95" s="6">
        <f>IF(B95&lt;&gt;"",IF(AND(Input!$H$56="Annual",MOD(B95,12)=0),Input!$J$56,IF(AND(Input!$H$56="1st Installment",B95=1),Input!$J$56,IF(Input!$H$56="Monthly",Input!$J$56,""))),"")</f>
        <v>208.33333333333334</v>
      </c>
      <c r="M95" s="6" t="str">
        <f>IF(B95&lt;&gt;"",IF(AND(Input!$H$57="Annual",MOD(B95,12)=0),Input!$J$57,IF(AND(Input!$H$57="1st Installment",B95=1),Input!$J$57,IF(Input!$H$57="Monthly",Input!$J$57,""))),"")</f>
        <v/>
      </c>
      <c r="N95" s="6" t="str">
        <f>IF(B95&lt;&gt;"",IF(AND(Input!$H$58="Annual",MOD(B95,12)=0),Input!$J$58,IF(AND(Input!$H$58="1st Installment",B95=1),Input!$J$58,IF(Input!$H$58="Monthly",Input!$J$58,IF(AND(Input!$H$58="End of the loan",B95=Input!$E$58),Input!$J$58,"")))),"")</f>
        <v/>
      </c>
      <c r="O95" s="6">
        <f t="shared" si="10"/>
        <v>208.33333333333334</v>
      </c>
      <c r="P95" s="4">
        <f t="shared" si="11"/>
        <v>10525.868335503435</v>
      </c>
      <c r="T95" s="9">
        <f t="shared" si="12"/>
        <v>47664</v>
      </c>
      <c r="U95" s="5">
        <f t="shared" si="13"/>
        <v>10525.87</v>
      </c>
    </row>
    <row r="96" spans="2:21" x14ac:dyDescent="0.2">
      <c r="B96" s="181">
        <f t="shared" si="16"/>
        <v>79</v>
      </c>
      <c r="C96" s="162">
        <f t="shared" si="17"/>
        <v>47694</v>
      </c>
      <c r="D96" s="6">
        <f>IFERROR((PPMT(Input!$E$55/12,B96,$C$6,Input!$E$54,-Input!$E$65,0))," ")</f>
        <v>-4263.1805401062065</v>
      </c>
      <c r="E96" s="6">
        <f>IFERROR(((IPMT(Input!$E$55/12,B96,$C$6,Input!$E$54,-Input!$E$65,0)))," ")</f>
        <v>-6054.3544620638932</v>
      </c>
      <c r="F96" s="6">
        <f t="shared" si="19"/>
        <v>-283313.11608980177</v>
      </c>
      <c r="G96" s="6">
        <f t="shared" si="18"/>
        <v>-531772.14908163634</v>
      </c>
      <c r="H96" s="6">
        <f t="shared" si="14"/>
        <v>-10317.5350021701</v>
      </c>
      <c r="I96" s="6">
        <f t="shared" si="15"/>
        <v>1316686.8839101982</v>
      </c>
      <c r="J96" s="6" t="str">
        <f>IF(B96&lt;&gt;"",IF(AND(Input!$H$54="Annual",MOD(B96,12)=0),Input!$J$54,IF(AND(Input!$H$54="1st Installment",B96=1),Input!$J$54,IF(Input!$H$54="Monthly",Input!$J$54,""))),"")</f>
        <v/>
      </c>
      <c r="K96" s="6" t="str">
        <f>IF(B96&lt;&gt;"",IF(AND(Input!$H$55="Annual",MOD(B96,12)=0),Input!$J$55,IF(AND(Input!$H$55="1st Installment",B96=1),Input!$J$55,IF(Input!$H$55="Monthly",Input!$J$55,""))),"")</f>
        <v/>
      </c>
      <c r="L96" s="6">
        <f>IF(B96&lt;&gt;"",IF(AND(Input!$H$56="Annual",MOD(B96,12)=0),Input!$J$56,IF(AND(Input!$H$56="1st Installment",B96=1),Input!$J$56,IF(Input!$H$56="Monthly",Input!$J$56,""))),"")</f>
        <v>208.33333333333334</v>
      </c>
      <c r="M96" s="6" t="str">
        <f>IF(B96&lt;&gt;"",IF(AND(Input!$H$57="Annual",MOD(B96,12)=0),Input!$J$57,IF(AND(Input!$H$57="1st Installment",B96=1),Input!$J$57,IF(Input!$H$57="Monthly",Input!$J$57,""))),"")</f>
        <v/>
      </c>
      <c r="N96" s="6" t="str">
        <f>IF(B96&lt;&gt;"",IF(AND(Input!$H$58="Annual",MOD(B96,12)=0),Input!$J$58,IF(AND(Input!$H$58="1st Installment",B96=1),Input!$J$58,IF(Input!$H$58="Monthly",Input!$J$58,IF(AND(Input!$H$58="End of the loan",B96=Input!$E$58),Input!$J$58,"")))),"")</f>
        <v/>
      </c>
      <c r="O96" s="6">
        <f t="shared" si="10"/>
        <v>208.33333333333334</v>
      </c>
      <c r="P96" s="4">
        <f t="shared" si="11"/>
        <v>10525.868335503434</v>
      </c>
      <c r="T96" s="9">
        <f t="shared" si="12"/>
        <v>47694</v>
      </c>
      <c r="U96" s="5">
        <f t="shared" si="13"/>
        <v>10525.87</v>
      </c>
    </row>
    <row r="97" spans="2:21" x14ac:dyDescent="0.2">
      <c r="B97" s="181">
        <f t="shared" si="16"/>
        <v>80</v>
      </c>
      <c r="C97" s="162">
        <f t="shared" si="17"/>
        <v>47725</v>
      </c>
      <c r="D97" s="6">
        <f>IFERROR((PPMT(Input!$E$55/12,B97,$C$6,Input!$E$54,-Input!$E$65,0))," ")</f>
        <v>-4282.7201175816936</v>
      </c>
      <c r="E97" s="6">
        <f>IFERROR(((IPMT(Input!$E$55/12,B97,$C$6,Input!$E$54,-Input!$E$65,0)))," ")</f>
        <v>-6034.8148845884089</v>
      </c>
      <c r="F97" s="6">
        <f t="shared" si="19"/>
        <v>-287595.83620738349</v>
      </c>
      <c r="G97" s="6">
        <f t="shared" si="18"/>
        <v>-537806.96396622469</v>
      </c>
      <c r="H97" s="6">
        <f t="shared" si="14"/>
        <v>-10317.535002170102</v>
      </c>
      <c r="I97" s="6">
        <f t="shared" si="15"/>
        <v>1312404.1637926165</v>
      </c>
      <c r="J97" s="6" t="str">
        <f>IF(B97&lt;&gt;"",IF(AND(Input!$H$54="Annual",MOD(B97,12)=0),Input!$J$54,IF(AND(Input!$H$54="1st Installment",B97=1),Input!$J$54,IF(Input!$H$54="Monthly",Input!$J$54,""))),"")</f>
        <v/>
      </c>
      <c r="K97" s="6" t="str">
        <f>IF(B97&lt;&gt;"",IF(AND(Input!$H$55="Annual",MOD(B97,12)=0),Input!$J$55,IF(AND(Input!$H$55="1st Installment",B97=1),Input!$J$55,IF(Input!$H$55="Monthly",Input!$J$55,""))),"")</f>
        <v/>
      </c>
      <c r="L97" s="6">
        <f>IF(B97&lt;&gt;"",IF(AND(Input!$H$56="Annual",MOD(B97,12)=0),Input!$J$56,IF(AND(Input!$H$56="1st Installment",B97=1),Input!$J$56,IF(Input!$H$56="Monthly",Input!$J$56,""))),"")</f>
        <v>208.33333333333334</v>
      </c>
      <c r="M97" s="6" t="str">
        <f>IF(B97&lt;&gt;"",IF(AND(Input!$H$57="Annual",MOD(B97,12)=0),Input!$J$57,IF(AND(Input!$H$57="1st Installment",B97=1),Input!$J$57,IF(Input!$H$57="Monthly",Input!$J$57,""))),"")</f>
        <v/>
      </c>
      <c r="N97" s="6" t="str">
        <f>IF(B97&lt;&gt;"",IF(AND(Input!$H$58="Annual",MOD(B97,12)=0),Input!$J$58,IF(AND(Input!$H$58="1st Installment",B97=1),Input!$J$58,IF(Input!$H$58="Monthly",Input!$J$58,IF(AND(Input!$H$58="End of the loan",B97=Input!$E$58),Input!$J$58,"")))),"")</f>
        <v/>
      </c>
      <c r="O97" s="6">
        <f t="shared" si="10"/>
        <v>208.33333333333334</v>
      </c>
      <c r="P97" s="4">
        <f t="shared" si="11"/>
        <v>10525.868335503435</v>
      </c>
      <c r="T97" s="9">
        <f t="shared" si="12"/>
        <v>47725</v>
      </c>
      <c r="U97" s="5">
        <f t="shared" si="13"/>
        <v>10525.87</v>
      </c>
    </row>
    <row r="98" spans="2:21" x14ac:dyDescent="0.2">
      <c r="B98" s="181">
        <f t="shared" si="16"/>
        <v>81</v>
      </c>
      <c r="C98" s="162">
        <f t="shared" si="17"/>
        <v>47756</v>
      </c>
      <c r="D98" s="6">
        <f>IFERROR((PPMT(Input!$E$55/12,B98,$C$6,Input!$E$54,-Input!$E$65,0))," ")</f>
        <v>-4302.349251453943</v>
      </c>
      <c r="E98" s="6">
        <f>IFERROR(((IPMT(Input!$E$55/12,B98,$C$6,Input!$E$54,-Input!$E$65,0)))," ")</f>
        <v>-6015.1857507161576</v>
      </c>
      <c r="F98" s="6">
        <f t="shared" si="19"/>
        <v>-291898.18545883743</v>
      </c>
      <c r="G98" s="6">
        <f t="shared" si="18"/>
        <v>-543822.14971694082</v>
      </c>
      <c r="H98" s="6">
        <f t="shared" si="14"/>
        <v>-10317.535002170102</v>
      </c>
      <c r="I98" s="6">
        <f t="shared" si="15"/>
        <v>1308101.8145411625</v>
      </c>
      <c r="J98" s="6" t="str">
        <f>IF(B98&lt;&gt;"",IF(AND(Input!$H$54="Annual",MOD(B98,12)=0),Input!$J$54,IF(AND(Input!$H$54="1st Installment",B98=1),Input!$J$54,IF(Input!$H$54="Monthly",Input!$J$54,""))),"")</f>
        <v/>
      </c>
      <c r="K98" s="6" t="str">
        <f>IF(B98&lt;&gt;"",IF(AND(Input!$H$55="Annual",MOD(B98,12)=0),Input!$J$55,IF(AND(Input!$H$55="1st Installment",B98=1),Input!$J$55,IF(Input!$H$55="Monthly",Input!$J$55,""))),"")</f>
        <v/>
      </c>
      <c r="L98" s="6">
        <f>IF(B98&lt;&gt;"",IF(AND(Input!$H$56="Annual",MOD(B98,12)=0),Input!$J$56,IF(AND(Input!$H$56="1st Installment",B98=1),Input!$J$56,IF(Input!$H$56="Monthly",Input!$J$56,""))),"")</f>
        <v>208.33333333333334</v>
      </c>
      <c r="M98" s="6" t="str">
        <f>IF(B98&lt;&gt;"",IF(AND(Input!$H$57="Annual",MOD(B98,12)=0),Input!$J$57,IF(AND(Input!$H$57="1st Installment",B98=1),Input!$J$57,IF(Input!$H$57="Monthly",Input!$J$57,""))),"")</f>
        <v/>
      </c>
      <c r="N98" s="6" t="str">
        <f>IF(B98&lt;&gt;"",IF(AND(Input!$H$58="Annual",MOD(B98,12)=0),Input!$J$58,IF(AND(Input!$H$58="1st Installment",B98=1),Input!$J$58,IF(Input!$H$58="Monthly",Input!$J$58,IF(AND(Input!$H$58="End of the loan",B98=Input!$E$58),Input!$J$58,"")))),"")</f>
        <v/>
      </c>
      <c r="O98" s="6">
        <f t="shared" si="10"/>
        <v>208.33333333333334</v>
      </c>
      <c r="P98" s="4">
        <f t="shared" si="11"/>
        <v>10525.868335503435</v>
      </c>
      <c r="T98" s="9">
        <f t="shared" si="12"/>
        <v>47756</v>
      </c>
      <c r="U98" s="5">
        <f t="shared" si="13"/>
        <v>10525.87</v>
      </c>
    </row>
    <row r="99" spans="2:21" x14ac:dyDescent="0.2">
      <c r="B99" s="181">
        <f t="shared" si="16"/>
        <v>82</v>
      </c>
      <c r="C99" s="162">
        <f t="shared" si="17"/>
        <v>47786</v>
      </c>
      <c r="D99" s="6">
        <f>IFERROR((PPMT(Input!$E$55/12,B99,$C$6,Input!$E$54,-Input!$E$65,0))," ")</f>
        <v>-4322.0683521897745</v>
      </c>
      <c r="E99" s="6">
        <f>IFERROR(((IPMT(Input!$E$55/12,B99,$C$6,Input!$E$54,-Input!$E$65,0)))," ")</f>
        <v>-5995.4666499803261</v>
      </c>
      <c r="F99" s="6">
        <f t="shared" si="19"/>
        <v>-296220.25381102721</v>
      </c>
      <c r="G99" s="6">
        <f t="shared" si="18"/>
        <v>-549817.61636692111</v>
      </c>
      <c r="H99" s="6">
        <f t="shared" si="14"/>
        <v>-10317.535002170102</v>
      </c>
      <c r="I99" s="6">
        <f t="shared" si="15"/>
        <v>1303779.7461889728</v>
      </c>
      <c r="J99" s="6" t="str">
        <f>IF(B99&lt;&gt;"",IF(AND(Input!$H$54="Annual",MOD(B99,12)=0),Input!$J$54,IF(AND(Input!$H$54="1st Installment",B99=1),Input!$J$54,IF(Input!$H$54="Monthly",Input!$J$54,""))),"")</f>
        <v/>
      </c>
      <c r="K99" s="6" t="str">
        <f>IF(B99&lt;&gt;"",IF(AND(Input!$H$55="Annual",MOD(B99,12)=0),Input!$J$55,IF(AND(Input!$H$55="1st Installment",B99=1),Input!$J$55,IF(Input!$H$55="Monthly",Input!$J$55,""))),"")</f>
        <v/>
      </c>
      <c r="L99" s="6">
        <f>IF(B99&lt;&gt;"",IF(AND(Input!$H$56="Annual",MOD(B99,12)=0),Input!$J$56,IF(AND(Input!$H$56="1st Installment",B99=1),Input!$J$56,IF(Input!$H$56="Monthly",Input!$J$56,""))),"")</f>
        <v>208.33333333333334</v>
      </c>
      <c r="M99" s="6" t="str">
        <f>IF(B99&lt;&gt;"",IF(AND(Input!$H$57="Annual",MOD(B99,12)=0),Input!$J$57,IF(AND(Input!$H$57="1st Installment",B99=1),Input!$J$57,IF(Input!$H$57="Monthly",Input!$J$57,""))),"")</f>
        <v/>
      </c>
      <c r="N99" s="6" t="str">
        <f>IF(B99&lt;&gt;"",IF(AND(Input!$H$58="Annual",MOD(B99,12)=0),Input!$J$58,IF(AND(Input!$H$58="1st Installment",B99=1),Input!$J$58,IF(Input!$H$58="Monthly",Input!$J$58,IF(AND(Input!$H$58="End of the loan",B99=Input!$E$58),Input!$J$58,"")))),"")</f>
        <v/>
      </c>
      <c r="O99" s="6">
        <f t="shared" si="10"/>
        <v>208.33333333333334</v>
      </c>
      <c r="P99" s="4">
        <f t="shared" si="11"/>
        <v>10525.868335503435</v>
      </c>
      <c r="T99" s="9">
        <f t="shared" si="12"/>
        <v>47786</v>
      </c>
      <c r="U99" s="5">
        <f t="shared" si="13"/>
        <v>10525.87</v>
      </c>
    </row>
    <row r="100" spans="2:21" x14ac:dyDescent="0.2">
      <c r="B100" s="181">
        <f t="shared" si="16"/>
        <v>83</v>
      </c>
      <c r="C100" s="162">
        <f t="shared" si="17"/>
        <v>47817</v>
      </c>
      <c r="D100" s="6">
        <f>IFERROR((PPMT(Input!$E$55/12,B100,$C$6,Input!$E$54,-Input!$E$65,0))," ")</f>
        <v>-4341.8778321373111</v>
      </c>
      <c r="E100" s="6">
        <f>IFERROR(((IPMT(Input!$E$55/12,B100,$C$6,Input!$E$54,-Input!$E$65,0)))," ")</f>
        <v>-5975.6571700327913</v>
      </c>
      <c r="F100" s="6">
        <f t="shared" si="19"/>
        <v>-300562.13164316455</v>
      </c>
      <c r="G100" s="6">
        <f t="shared" si="18"/>
        <v>-555793.27353695384</v>
      </c>
      <c r="H100" s="6">
        <f t="shared" si="14"/>
        <v>-10317.535002170102</v>
      </c>
      <c r="I100" s="6">
        <f t="shared" si="15"/>
        <v>1299437.8683568356</v>
      </c>
      <c r="J100" s="6" t="str">
        <f>IF(B100&lt;&gt;"",IF(AND(Input!$H$54="Annual",MOD(B100,12)=0),Input!$J$54,IF(AND(Input!$H$54="1st Installment",B100=1),Input!$J$54,IF(Input!$H$54="Monthly",Input!$J$54,""))),"")</f>
        <v/>
      </c>
      <c r="K100" s="6" t="str">
        <f>IF(B100&lt;&gt;"",IF(AND(Input!$H$55="Annual",MOD(B100,12)=0),Input!$J$55,IF(AND(Input!$H$55="1st Installment",B100=1),Input!$J$55,IF(Input!$H$55="Monthly",Input!$J$55,""))),"")</f>
        <v/>
      </c>
      <c r="L100" s="6">
        <f>IF(B100&lt;&gt;"",IF(AND(Input!$H$56="Annual",MOD(B100,12)=0),Input!$J$56,IF(AND(Input!$H$56="1st Installment",B100=1),Input!$J$56,IF(Input!$H$56="Monthly",Input!$J$56,""))),"")</f>
        <v>208.33333333333334</v>
      </c>
      <c r="M100" s="6" t="str">
        <f>IF(B100&lt;&gt;"",IF(AND(Input!$H$57="Annual",MOD(B100,12)=0),Input!$J$57,IF(AND(Input!$H$57="1st Installment",B100=1),Input!$J$57,IF(Input!$H$57="Monthly",Input!$J$57,""))),"")</f>
        <v/>
      </c>
      <c r="N100" s="6" t="str">
        <f>IF(B100&lt;&gt;"",IF(AND(Input!$H$58="Annual",MOD(B100,12)=0),Input!$J$58,IF(AND(Input!$H$58="1st Installment",B100=1),Input!$J$58,IF(Input!$H$58="Monthly",Input!$J$58,IF(AND(Input!$H$58="End of the loan",B100=Input!$E$58),Input!$J$58,"")))),"")</f>
        <v/>
      </c>
      <c r="O100" s="6">
        <f t="shared" si="10"/>
        <v>208.33333333333334</v>
      </c>
      <c r="P100" s="4">
        <f t="shared" si="11"/>
        <v>10525.868335503435</v>
      </c>
      <c r="T100" s="9">
        <f t="shared" si="12"/>
        <v>47817</v>
      </c>
      <c r="U100" s="5">
        <f t="shared" si="13"/>
        <v>10525.87</v>
      </c>
    </row>
    <row r="101" spans="2:21" x14ac:dyDescent="0.2">
      <c r="B101" s="181">
        <f t="shared" si="16"/>
        <v>84</v>
      </c>
      <c r="C101" s="162">
        <f t="shared" si="17"/>
        <v>47847</v>
      </c>
      <c r="D101" s="6">
        <f>IFERROR((PPMT(Input!$E$55/12,B101,$C$6,Input!$E$54,-Input!$E$65,0))," ")</f>
        <v>-4361.7781055346077</v>
      </c>
      <c r="E101" s="6">
        <f>IFERROR(((IPMT(Input!$E$55/12,B101,$C$6,Input!$E$54,-Input!$E$65,0)))," ")</f>
        <v>-5955.7568966354938</v>
      </c>
      <c r="F101" s="6">
        <f t="shared" si="19"/>
        <v>-304923.90974869917</v>
      </c>
      <c r="G101" s="6">
        <f t="shared" si="18"/>
        <v>-561749.03043358936</v>
      </c>
      <c r="H101" s="6">
        <f t="shared" si="14"/>
        <v>-10317.535002170102</v>
      </c>
      <c r="I101" s="6">
        <f t="shared" si="15"/>
        <v>1295076.0902513009</v>
      </c>
      <c r="J101" s="6" t="str">
        <f>IF(B101&lt;&gt;"",IF(AND(Input!$H$54="Annual",MOD(B101,12)=0),Input!$J$54,IF(AND(Input!$H$54="1st Installment",B101=1),Input!$J$54,IF(Input!$H$54="Monthly",Input!$J$54,""))),"")</f>
        <v/>
      </c>
      <c r="K101" s="6">
        <f>IF(B101&lt;&gt;"",IF(AND(Input!$H$55="Annual",MOD(B101,12)=0),Input!$J$55,IF(AND(Input!$H$55="1st Installment",B101=1),Input!$J$55,IF(Input!$H$55="Monthly",Input!$J$55,""))),"")</f>
        <v>0</v>
      </c>
      <c r="L101" s="6">
        <f>IF(B101&lt;&gt;"",IF(AND(Input!$H$56="Annual",MOD(B101,12)=0),Input!$J$56,IF(AND(Input!$H$56="1st Installment",B101=1),Input!$J$56,IF(Input!$H$56="Monthly",Input!$J$56,""))),"")</f>
        <v>208.33333333333334</v>
      </c>
      <c r="M101" s="6" t="str">
        <f>IF(B101&lt;&gt;"",IF(AND(Input!$H$57="Annual",MOD(B101,12)=0),Input!$J$57,IF(AND(Input!$H$57="1st Installment",B101=1),Input!$J$57,IF(Input!$H$57="Monthly",Input!$J$57,""))),"")</f>
        <v/>
      </c>
      <c r="N101" s="6">
        <f>IF(B101&lt;&gt;"",IF(AND(Input!$H$58="Annual",MOD(B101,12)=0),Input!$J$58,IF(AND(Input!$H$58="1st Installment",B101=1),Input!$J$58,IF(Input!$H$58="Monthly",Input!$J$58,IF(AND(Input!$H$58="End of the loan",B101=Input!$E$58),Input!$J$58,"")))),"")</f>
        <v>0</v>
      </c>
      <c r="O101" s="6">
        <f t="shared" si="10"/>
        <v>208.33333333333334</v>
      </c>
      <c r="P101" s="4">
        <f t="shared" si="11"/>
        <v>10525.868335503435</v>
      </c>
      <c r="T101" s="9">
        <f t="shared" si="12"/>
        <v>47847</v>
      </c>
      <c r="U101" s="5">
        <f t="shared" si="13"/>
        <v>10525.87</v>
      </c>
    </row>
    <row r="102" spans="2:21" x14ac:dyDescent="0.2">
      <c r="B102" s="181">
        <f t="shared" si="16"/>
        <v>85</v>
      </c>
      <c r="C102" s="162">
        <f t="shared" si="17"/>
        <v>47878</v>
      </c>
      <c r="D102" s="6">
        <f>IFERROR((PPMT(Input!$E$55/12,B102,$C$6,Input!$E$54,-Input!$E$65,0))," ")</f>
        <v>-4381.7695885183066</v>
      </c>
      <c r="E102" s="6">
        <f>IFERROR(((IPMT(Input!$E$55/12,B102,$C$6,Input!$E$54,-Input!$E$65,0)))," ")</f>
        <v>-5935.765413651794</v>
      </c>
      <c r="F102" s="6">
        <f t="shared" si="19"/>
        <v>-309305.67933721747</v>
      </c>
      <c r="G102" s="6">
        <f t="shared" si="18"/>
        <v>-567684.79584724118</v>
      </c>
      <c r="H102" s="6">
        <f t="shared" si="14"/>
        <v>-10317.535002170102</v>
      </c>
      <c r="I102" s="6">
        <f t="shared" si="15"/>
        <v>1290694.3206627825</v>
      </c>
      <c r="J102" s="6" t="str">
        <f>IF(B102&lt;&gt;"",IF(AND(Input!$H$54="Annual",MOD(B102,12)=0),Input!$J$54,IF(AND(Input!$H$54="1st Installment",B102=1),Input!$J$54,IF(Input!$H$54="Monthly",Input!$J$54,""))),"")</f>
        <v/>
      </c>
      <c r="K102" s="6" t="str">
        <f>IF(B102&lt;&gt;"",IF(AND(Input!$H$55="Annual",MOD(B102,12)=0),Input!$J$55,IF(AND(Input!$H$55="1st Installment",B102=1),Input!$J$55,IF(Input!$H$55="Monthly",Input!$J$55,""))),"")</f>
        <v/>
      </c>
      <c r="L102" s="6">
        <f>IF(B102&lt;&gt;"",IF(AND(Input!$H$56="Annual",MOD(B102,12)=0),Input!$J$56,IF(AND(Input!$H$56="1st Installment",B102=1),Input!$J$56,IF(Input!$H$56="Monthly",Input!$J$56,""))),"")</f>
        <v>208.33333333333334</v>
      </c>
      <c r="M102" s="6" t="str">
        <f>IF(B102&lt;&gt;"",IF(AND(Input!$H$57="Annual",MOD(B102,12)=0),Input!$J$57,IF(AND(Input!$H$57="1st Installment",B102=1),Input!$J$57,IF(Input!$H$57="Monthly",Input!$J$57,""))),"")</f>
        <v/>
      </c>
      <c r="N102" s="6" t="str">
        <f>IF(B102&lt;&gt;"",IF(AND(Input!$H$58="Annual",MOD(B102,12)=0),Input!$J$58,IF(AND(Input!$H$58="1st Installment",B102=1),Input!$J$58,IF(Input!$H$58="Monthly",Input!$J$58,IF(AND(Input!$H$58="End of the loan",B102=Input!$E$58),Input!$J$58,"")))),"")</f>
        <v/>
      </c>
      <c r="O102" s="6">
        <f t="shared" si="10"/>
        <v>208.33333333333334</v>
      </c>
      <c r="P102" s="4">
        <f t="shared" si="11"/>
        <v>10525.868335503435</v>
      </c>
      <c r="T102" s="9">
        <f t="shared" si="12"/>
        <v>47878</v>
      </c>
      <c r="U102" s="5">
        <f t="shared" si="13"/>
        <v>10525.87</v>
      </c>
    </row>
    <row r="103" spans="2:21" x14ac:dyDescent="0.2">
      <c r="B103" s="181">
        <f t="shared" si="16"/>
        <v>86</v>
      </c>
      <c r="C103" s="162">
        <f t="shared" si="17"/>
        <v>47907</v>
      </c>
      <c r="D103" s="6">
        <f>IFERROR((PPMT(Input!$E$55/12,B103,$C$6,Input!$E$54,-Input!$E$65,0))," ")</f>
        <v>-4401.8526991323497</v>
      </c>
      <c r="E103" s="6">
        <f>IFERROR(((IPMT(Input!$E$55/12,B103,$C$6,Input!$E$54,-Input!$E$65,0)))," ")</f>
        <v>-5915.6823030377518</v>
      </c>
      <c r="F103" s="6">
        <f t="shared" si="19"/>
        <v>-313707.53203634982</v>
      </c>
      <c r="G103" s="6">
        <f t="shared" si="18"/>
        <v>-573600.47815027891</v>
      </c>
      <c r="H103" s="6">
        <f t="shared" si="14"/>
        <v>-10317.535002170102</v>
      </c>
      <c r="I103" s="6">
        <f t="shared" si="15"/>
        <v>1286292.4679636501</v>
      </c>
      <c r="J103" s="6" t="str">
        <f>IF(B103&lt;&gt;"",IF(AND(Input!$H$54="Annual",MOD(B103,12)=0),Input!$J$54,IF(AND(Input!$H$54="1st Installment",B103=1),Input!$J$54,IF(Input!$H$54="Monthly",Input!$J$54,""))),"")</f>
        <v/>
      </c>
      <c r="K103" s="6" t="str">
        <f>IF(B103&lt;&gt;"",IF(AND(Input!$H$55="Annual",MOD(B103,12)=0),Input!$J$55,IF(AND(Input!$H$55="1st Installment",B103=1),Input!$J$55,IF(Input!$H$55="Monthly",Input!$J$55,""))),"")</f>
        <v/>
      </c>
      <c r="L103" s="6">
        <f>IF(B103&lt;&gt;"",IF(AND(Input!$H$56="Annual",MOD(B103,12)=0),Input!$J$56,IF(AND(Input!$H$56="1st Installment",B103=1),Input!$J$56,IF(Input!$H$56="Monthly",Input!$J$56,""))),"")</f>
        <v>208.33333333333334</v>
      </c>
      <c r="M103" s="6" t="str">
        <f>IF(B103&lt;&gt;"",IF(AND(Input!$H$57="Annual",MOD(B103,12)=0),Input!$J$57,IF(AND(Input!$H$57="1st Installment",B103=1),Input!$J$57,IF(Input!$H$57="Monthly",Input!$J$57,""))),"")</f>
        <v/>
      </c>
      <c r="N103" s="6" t="str">
        <f>IF(B103&lt;&gt;"",IF(AND(Input!$H$58="Annual",MOD(B103,12)=0),Input!$J$58,IF(AND(Input!$H$58="1st Installment",B103=1),Input!$J$58,IF(Input!$H$58="Monthly",Input!$J$58,IF(AND(Input!$H$58="End of the loan",B103=Input!$E$58),Input!$J$58,"")))),"")</f>
        <v/>
      </c>
      <c r="O103" s="6">
        <f t="shared" si="10"/>
        <v>208.33333333333334</v>
      </c>
      <c r="P103" s="4">
        <f t="shared" si="11"/>
        <v>10525.868335503435</v>
      </c>
      <c r="T103" s="9">
        <f t="shared" si="12"/>
        <v>47907</v>
      </c>
      <c r="U103" s="5">
        <f t="shared" si="13"/>
        <v>10525.87</v>
      </c>
    </row>
    <row r="104" spans="2:21" x14ac:dyDescent="0.2">
      <c r="B104" s="181">
        <f t="shared" si="16"/>
        <v>87</v>
      </c>
      <c r="C104" s="162">
        <f t="shared" si="17"/>
        <v>47937</v>
      </c>
      <c r="D104" s="6">
        <f>IFERROR((PPMT(Input!$E$55/12,B104,$C$6,Input!$E$54,-Input!$E$65,0))," ")</f>
        <v>-4422.0278573367059</v>
      </c>
      <c r="E104" s="6">
        <f>IFERROR(((IPMT(Input!$E$55/12,B104,$C$6,Input!$E$54,-Input!$E$65,0)))," ")</f>
        <v>-5895.5071448333956</v>
      </c>
      <c r="F104" s="6">
        <f t="shared" si="19"/>
        <v>-318129.5598936865</v>
      </c>
      <c r="G104" s="6">
        <f t="shared" si="18"/>
        <v>-579495.98529511236</v>
      </c>
      <c r="H104" s="6">
        <f t="shared" si="14"/>
        <v>-10317.535002170102</v>
      </c>
      <c r="I104" s="6">
        <f t="shared" si="15"/>
        <v>1281870.4401063134</v>
      </c>
      <c r="J104" s="6" t="str">
        <f>IF(B104&lt;&gt;"",IF(AND(Input!$H$54="Annual",MOD(B104,12)=0),Input!$J$54,IF(AND(Input!$H$54="1st Installment",B104=1),Input!$J$54,IF(Input!$H$54="Monthly",Input!$J$54,""))),"")</f>
        <v/>
      </c>
      <c r="K104" s="6" t="str">
        <f>IF(B104&lt;&gt;"",IF(AND(Input!$H$55="Annual",MOD(B104,12)=0),Input!$J$55,IF(AND(Input!$H$55="1st Installment",B104=1),Input!$J$55,IF(Input!$H$55="Monthly",Input!$J$55,""))),"")</f>
        <v/>
      </c>
      <c r="L104" s="6">
        <f>IF(B104&lt;&gt;"",IF(AND(Input!$H$56="Annual",MOD(B104,12)=0),Input!$J$56,IF(AND(Input!$H$56="1st Installment",B104=1),Input!$J$56,IF(Input!$H$56="Monthly",Input!$J$56,""))),"")</f>
        <v>208.33333333333334</v>
      </c>
      <c r="M104" s="6" t="str">
        <f>IF(B104&lt;&gt;"",IF(AND(Input!$H$57="Annual",MOD(B104,12)=0),Input!$J$57,IF(AND(Input!$H$57="1st Installment",B104=1),Input!$J$57,IF(Input!$H$57="Monthly",Input!$J$57,""))),"")</f>
        <v/>
      </c>
      <c r="N104" s="6" t="str">
        <f>IF(B104&lt;&gt;"",IF(AND(Input!$H$58="Annual",MOD(B104,12)=0),Input!$J$58,IF(AND(Input!$H$58="1st Installment",B104=1),Input!$J$58,IF(Input!$H$58="Monthly",Input!$J$58,IF(AND(Input!$H$58="End of the loan",B104=Input!$E$58),Input!$J$58,"")))),"")</f>
        <v/>
      </c>
      <c r="O104" s="6">
        <f t="shared" si="10"/>
        <v>208.33333333333334</v>
      </c>
      <c r="P104" s="4">
        <f t="shared" si="11"/>
        <v>10525.868335503435</v>
      </c>
      <c r="T104" s="9">
        <f t="shared" si="12"/>
        <v>47937</v>
      </c>
      <c r="U104" s="5">
        <f t="shared" si="13"/>
        <v>10525.87</v>
      </c>
    </row>
    <row r="105" spans="2:21" x14ac:dyDescent="0.2">
      <c r="B105" s="181">
        <f t="shared" si="16"/>
        <v>88</v>
      </c>
      <c r="C105" s="162">
        <f t="shared" si="17"/>
        <v>47968</v>
      </c>
      <c r="D105" s="6">
        <f>IFERROR((PPMT(Input!$E$55/12,B105,$C$6,Input!$E$54,-Input!$E$65,0))," ")</f>
        <v>-4442.295485016165</v>
      </c>
      <c r="E105" s="6">
        <f>IFERROR(((IPMT(Input!$E$55/12,B105,$C$6,Input!$E$54,-Input!$E$65,0)))," ")</f>
        <v>-5875.2395171539356</v>
      </c>
      <c r="F105" s="6">
        <f t="shared" si="19"/>
        <v>-322571.85537870269</v>
      </c>
      <c r="G105" s="6">
        <f t="shared" si="18"/>
        <v>-585371.2248122663</v>
      </c>
      <c r="H105" s="6">
        <f t="shared" si="14"/>
        <v>-10317.535002170102</v>
      </c>
      <c r="I105" s="6">
        <f t="shared" si="15"/>
        <v>1277428.1446212973</v>
      </c>
      <c r="J105" s="6" t="str">
        <f>IF(B105&lt;&gt;"",IF(AND(Input!$H$54="Annual",MOD(B105,12)=0),Input!$J$54,IF(AND(Input!$H$54="1st Installment",B105=1),Input!$J$54,IF(Input!$H$54="Monthly",Input!$J$54,""))),"")</f>
        <v/>
      </c>
      <c r="K105" s="6" t="str">
        <f>IF(B105&lt;&gt;"",IF(AND(Input!$H$55="Annual",MOD(B105,12)=0),Input!$J$55,IF(AND(Input!$H$55="1st Installment",B105=1),Input!$J$55,IF(Input!$H$55="Monthly",Input!$J$55,""))),"")</f>
        <v/>
      </c>
      <c r="L105" s="6">
        <f>IF(B105&lt;&gt;"",IF(AND(Input!$H$56="Annual",MOD(B105,12)=0),Input!$J$56,IF(AND(Input!$H$56="1st Installment",B105=1),Input!$J$56,IF(Input!$H$56="Monthly",Input!$J$56,""))),"")</f>
        <v>208.33333333333334</v>
      </c>
      <c r="M105" s="6" t="str">
        <f>IF(B105&lt;&gt;"",IF(AND(Input!$H$57="Annual",MOD(B105,12)=0),Input!$J$57,IF(AND(Input!$H$57="1st Installment",B105=1),Input!$J$57,IF(Input!$H$57="Monthly",Input!$J$57,""))),"")</f>
        <v/>
      </c>
      <c r="N105" s="6" t="str">
        <f>IF(B105&lt;&gt;"",IF(AND(Input!$H$58="Annual",MOD(B105,12)=0),Input!$J$58,IF(AND(Input!$H$58="1st Installment",B105=1),Input!$J$58,IF(Input!$H$58="Monthly",Input!$J$58,IF(AND(Input!$H$58="End of the loan",B105=Input!$E$58),Input!$J$58,"")))),"")</f>
        <v/>
      </c>
      <c r="O105" s="6">
        <f t="shared" si="10"/>
        <v>208.33333333333334</v>
      </c>
      <c r="P105" s="4">
        <f t="shared" si="11"/>
        <v>10525.868335503435</v>
      </c>
      <c r="T105" s="9">
        <f t="shared" si="12"/>
        <v>47968</v>
      </c>
      <c r="U105" s="5">
        <f t="shared" si="13"/>
        <v>10525.87</v>
      </c>
    </row>
    <row r="106" spans="2:21" x14ac:dyDescent="0.2">
      <c r="B106" s="181">
        <f t="shared" si="16"/>
        <v>89</v>
      </c>
      <c r="C106" s="162">
        <f t="shared" si="17"/>
        <v>47998</v>
      </c>
      <c r="D106" s="6">
        <f>IFERROR((PPMT(Input!$E$55/12,B106,$C$6,Input!$E$54,-Input!$E$65,0))," ")</f>
        <v>-4462.6560059891563</v>
      </c>
      <c r="E106" s="6">
        <f>IFERROR(((IPMT(Input!$E$55/12,B106,$C$6,Input!$E$54,-Input!$E$65,0)))," ")</f>
        <v>-5854.8789961809462</v>
      </c>
      <c r="F106" s="6">
        <f t="shared" si="19"/>
        <v>-327034.51138469187</v>
      </c>
      <c r="G106" s="6">
        <f t="shared" si="18"/>
        <v>-591226.10380844725</v>
      </c>
      <c r="H106" s="6">
        <f t="shared" si="14"/>
        <v>-10317.535002170102</v>
      </c>
      <c r="I106" s="6">
        <f t="shared" si="15"/>
        <v>1272965.4886153082</v>
      </c>
      <c r="J106" s="6" t="str">
        <f>IF(B106&lt;&gt;"",IF(AND(Input!$H$54="Annual",MOD(B106,12)=0),Input!$J$54,IF(AND(Input!$H$54="1st Installment",B106=1),Input!$J$54,IF(Input!$H$54="Monthly",Input!$J$54,""))),"")</f>
        <v/>
      </c>
      <c r="K106" s="6" t="str">
        <f>IF(B106&lt;&gt;"",IF(AND(Input!$H$55="Annual",MOD(B106,12)=0),Input!$J$55,IF(AND(Input!$H$55="1st Installment",B106=1),Input!$J$55,IF(Input!$H$55="Monthly",Input!$J$55,""))),"")</f>
        <v/>
      </c>
      <c r="L106" s="6">
        <f>IF(B106&lt;&gt;"",IF(AND(Input!$H$56="Annual",MOD(B106,12)=0),Input!$J$56,IF(AND(Input!$H$56="1st Installment",B106=1),Input!$J$56,IF(Input!$H$56="Monthly",Input!$J$56,""))),"")</f>
        <v>208.33333333333334</v>
      </c>
      <c r="M106" s="6" t="str">
        <f>IF(B106&lt;&gt;"",IF(AND(Input!$H$57="Annual",MOD(B106,12)=0),Input!$J$57,IF(AND(Input!$H$57="1st Installment",B106=1),Input!$J$57,IF(Input!$H$57="Monthly",Input!$J$57,""))),"")</f>
        <v/>
      </c>
      <c r="N106" s="6" t="str">
        <f>IF(B106&lt;&gt;"",IF(AND(Input!$H$58="Annual",MOD(B106,12)=0),Input!$J$58,IF(AND(Input!$H$58="1st Installment",B106=1),Input!$J$58,IF(Input!$H$58="Monthly",Input!$J$58,IF(AND(Input!$H$58="End of the loan",B106=Input!$E$58),Input!$J$58,"")))),"")</f>
        <v/>
      </c>
      <c r="O106" s="6">
        <f t="shared" si="10"/>
        <v>208.33333333333334</v>
      </c>
      <c r="P106" s="4">
        <f t="shared" si="11"/>
        <v>10525.868335503435</v>
      </c>
      <c r="T106" s="9">
        <f t="shared" si="12"/>
        <v>47998</v>
      </c>
      <c r="U106" s="5">
        <f t="shared" si="13"/>
        <v>10525.87</v>
      </c>
    </row>
    <row r="107" spans="2:21" x14ac:dyDescent="0.2">
      <c r="B107" s="181">
        <f t="shared" si="16"/>
        <v>90</v>
      </c>
      <c r="C107" s="162">
        <f t="shared" si="17"/>
        <v>48029</v>
      </c>
      <c r="D107" s="6">
        <f>IFERROR((PPMT(Input!$E$55/12,B107,$C$6,Input!$E$54,-Input!$E$65,0))," ")</f>
        <v>-4483.1098460166068</v>
      </c>
      <c r="E107" s="6">
        <f>IFERROR(((IPMT(Input!$E$55/12,B107,$C$6,Input!$E$54,-Input!$E$65,0)))," ")</f>
        <v>-5834.4251561534948</v>
      </c>
      <c r="F107" s="6">
        <f t="shared" si="19"/>
        <v>-331517.62123070849</v>
      </c>
      <c r="G107" s="6">
        <f t="shared" si="18"/>
        <v>-597060.52896460076</v>
      </c>
      <c r="H107" s="6">
        <f t="shared" si="14"/>
        <v>-10317.535002170102</v>
      </c>
      <c r="I107" s="6">
        <f t="shared" si="15"/>
        <v>1268482.3787692916</v>
      </c>
      <c r="J107" s="6" t="str">
        <f>IF(B107&lt;&gt;"",IF(AND(Input!$H$54="Annual",MOD(B107,12)=0),Input!$J$54,IF(AND(Input!$H$54="1st Installment",B107=1),Input!$J$54,IF(Input!$H$54="Monthly",Input!$J$54,""))),"")</f>
        <v/>
      </c>
      <c r="K107" s="6" t="str">
        <f>IF(B107&lt;&gt;"",IF(AND(Input!$H$55="Annual",MOD(B107,12)=0),Input!$J$55,IF(AND(Input!$H$55="1st Installment",B107=1),Input!$J$55,IF(Input!$H$55="Monthly",Input!$J$55,""))),"")</f>
        <v/>
      </c>
      <c r="L107" s="6">
        <f>IF(B107&lt;&gt;"",IF(AND(Input!$H$56="Annual",MOD(B107,12)=0),Input!$J$56,IF(AND(Input!$H$56="1st Installment",B107=1),Input!$J$56,IF(Input!$H$56="Monthly",Input!$J$56,""))),"")</f>
        <v>208.33333333333334</v>
      </c>
      <c r="M107" s="6" t="str">
        <f>IF(B107&lt;&gt;"",IF(AND(Input!$H$57="Annual",MOD(B107,12)=0),Input!$J$57,IF(AND(Input!$H$57="1st Installment",B107=1),Input!$J$57,IF(Input!$H$57="Monthly",Input!$J$57,""))),"")</f>
        <v/>
      </c>
      <c r="N107" s="6" t="str">
        <f>IF(B107&lt;&gt;"",IF(AND(Input!$H$58="Annual",MOD(B107,12)=0),Input!$J$58,IF(AND(Input!$H$58="1st Installment",B107=1),Input!$J$58,IF(Input!$H$58="Monthly",Input!$J$58,IF(AND(Input!$H$58="End of the loan",B107=Input!$E$58),Input!$J$58,"")))),"")</f>
        <v/>
      </c>
      <c r="O107" s="6">
        <f t="shared" si="10"/>
        <v>208.33333333333334</v>
      </c>
      <c r="P107" s="4">
        <f t="shared" si="11"/>
        <v>10525.868335503435</v>
      </c>
      <c r="T107" s="9">
        <f t="shared" si="12"/>
        <v>48029</v>
      </c>
      <c r="U107" s="5">
        <f t="shared" si="13"/>
        <v>10525.87</v>
      </c>
    </row>
    <row r="108" spans="2:21" x14ac:dyDescent="0.2">
      <c r="B108" s="181">
        <f t="shared" si="16"/>
        <v>91</v>
      </c>
      <c r="C108" s="162">
        <f t="shared" si="17"/>
        <v>48059</v>
      </c>
      <c r="D108" s="6">
        <f>IFERROR((PPMT(Input!$E$55/12,B108,$C$6,Input!$E$54,-Input!$E$65,0))," ")</f>
        <v>-4503.6574328108491</v>
      </c>
      <c r="E108" s="6">
        <f>IFERROR(((IPMT(Input!$E$55/12,B108,$C$6,Input!$E$54,-Input!$E$65,0)))," ")</f>
        <v>-5813.8775693592506</v>
      </c>
      <c r="F108" s="6">
        <f t="shared" si="19"/>
        <v>-336021.27866351936</v>
      </c>
      <c r="G108" s="6">
        <f t="shared" si="18"/>
        <v>-602874.40653396002</v>
      </c>
      <c r="H108" s="6">
        <f t="shared" si="14"/>
        <v>-10317.5350021701</v>
      </c>
      <c r="I108" s="6">
        <f t="shared" si="15"/>
        <v>1263978.7213364807</v>
      </c>
      <c r="J108" s="6" t="str">
        <f>IF(B108&lt;&gt;"",IF(AND(Input!$H$54="Annual",MOD(B108,12)=0),Input!$J$54,IF(AND(Input!$H$54="1st Installment",B108=1),Input!$J$54,IF(Input!$H$54="Monthly",Input!$J$54,""))),"")</f>
        <v/>
      </c>
      <c r="K108" s="6" t="str">
        <f>IF(B108&lt;&gt;"",IF(AND(Input!$H$55="Annual",MOD(B108,12)=0),Input!$J$55,IF(AND(Input!$H$55="1st Installment",B108=1),Input!$J$55,IF(Input!$H$55="Monthly",Input!$J$55,""))),"")</f>
        <v/>
      </c>
      <c r="L108" s="6">
        <f>IF(B108&lt;&gt;"",IF(AND(Input!$H$56="Annual",MOD(B108,12)=0),Input!$J$56,IF(AND(Input!$H$56="1st Installment",B108=1),Input!$J$56,IF(Input!$H$56="Monthly",Input!$J$56,""))),"")</f>
        <v>208.33333333333334</v>
      </c>
      <c r="M108" s="6" t="str">
        <f>IF(B108&lt;&gt;"",IF(AND(Input!$H$57="Annual",MOD(B108,12)=0),Input!$J$57,IF(AND(Input!$H$57="1st Installment",B108=1),Input!$J$57,IF(Input!$H$57="Monthly",Input!$J$57,""))),"")</f>
        <v/>
      </c>
      <c r="N108" s="6" t="str">
        <f>IF(B108&lt;&gt;"",IF(AND(Input!$H$58="Annual",MOD(B108,12)=0),Input!$J$58,IF(AND(Input!$H$58="1st Installment",B108=1),Input!$J$58,IF(Input!$H$58="Monthly",Input!$J$58,IF(AND(Input!$H$58="End of the loan",B108=Input!$E$58),Input!$J$58,"")))),"")</f>
        <v/>
      </c>
      <c r="O108" s="6">
        <f t="shared" si="10"/>
        <v>208.33333333333334</v>
      </c>
      <c r="P108" s="4">
        <f t="shared" si="11"/>
        <v>10525.868335503434</v>
      </c>
      <c r="T108" s="9">
        <f t="shared" si="12"/>
        <v>48059</v>
      </c>
      <c r="U108" s="5">
        <f t="shared" si="13"/>
        <v>10525.87</v>
      </c>
    </row>
    <row r="109" spans="2:21" x14ac:dyDescent="0.2">
      <c r="B109" s="181">
        <f t="shared" si="16"/>
        <v>92</v>
      </c>
      <c r="C109" s="162">
        <f t="shared" si="17"/>
        <v>48090</v>
      </c>
      <c r="D109" s="6">
        <f>IFERROR((PPMT(Input!$E$55/12,B109,$C$6,Input!$E$54,-Input!$E$65,0))," ")</f>
        <v>-4524.2991960445661</v>
      </c>
      <c r="E109" s="6">
        <f>IFERROR(((IPMT(Input!$E$55/12,B109,$C$6,Input!$E$54,-Input!$E$65,0)))," ")</f>
        <v>-5793.2358061255354</v>
      </c>
      <c r="F109" s="6">
        <f t="shared" si="19"/>
        <v>-340545.57785956393</v>
      </c>
      <c r="G109" s="6">
        <f t="shared" si="18"/>
        <v>-608667.64234008559</v>
      </c>
      <c r="H109" s="6">
        <f t="shared" si="14"/>
        <v>-10317.535002170102</v>
      </c>
      <c r="I109" s="6">
        <f t="shared" si="15"/>
        <v>1259454.422140436</v>
      </c>
      <c r="J109" s="6" t="str">
        <f>IF(B109&lt;&gt;"",IF(AND(Input!$H$54="Annual",MOD(B109,12)=0),Input!$J$54,IF(AND(Input!$H$54="1st Installment",B109=1),Input!$J$54,IF(Input!$H$54="Monthly",Input!$J$54,""))),"")</f>
        <v/>
      </c>
      <c r="K109" s="6" t="str">
        <f>IF(B109&lt;&gt;"",IF(AND(Input!$H$55="Annual",MOD(B109,12)=0),Input!$J$55,IF(AND(Input!$H$55="1st Installment",B109=1),Input!$J$55,IF(Input!$H$55="Monthly",Input!$J$55,""))),"")</f>
        <v/>
      </c>
      <c r="L109" s="6">
        <f>IF(B109&lt;&gt;"",IF(AND(Input!$H$56="Annual",MOD(B109,12)=0),Input!$J$56,IF(AND(Input!$H$56="1st Installment",B109=1),Input!$J$56,IF(Input!$H$56="Monthly",Input!$J$56,""))),"")</f>
        <v>208.33333333333334</v>
      </c>
      <c r="M109" s="6" t="str">
        <f>IF(B109&lt;&gt;"",IF(AND(Input!$H$57="Annual",MOD(B109,12)=0),Input!$J$57,IF(AND(Input!$H$57="1st Installment",B109=1),Input!$J$57,IF(Input!$H$57="Monthly",Input!$J$57,""))),"")</f>
        <v/>
      </c>
      <c r="N109" s="6" t="str">
        <f>IF(B109&lt;&gt;"",IF(AND(Input!$H$58="Annual",MOD(B109,12)=0),Input!$J$58,IF(AND(Input!$H$58="1st Installment",B109=1),Input!$J$58,IF(Input!$H$58="Monthly",Input!$J$58,IF(AND(Input!$H$58="End of the loan",B109=Input!$E$58),Input!$J$58,"")))),"")</f>
        <v/>
      </c>
      <c r="O109" s="6">
        <f t="shared" si="10"/>
        <v>208.33333333333334</v>
      </c>
      <c r="P109" s="4">
        <f t="shared" si="11"/>
        <v>10525.868335503435</v>
      </c>
      <c r="T109" s="9">
        <f t="shared" si="12"/>
        <v>48090</v>
      </c>
      <c r="U109" s="5">
        <f t="shared" si="13"/>
        <v>10525.87</v>
      </c>
    </row>
    <row r="110" spans="2:21" x14ac:dyDescent="0.2">
      <c r="B110" s="181">
        <f t="shared" si="16"/>
        <v>93</v>
      </c>
      <c r="C110" s="162">
        <f t="shared" si="17"/>
        <v>48121</v>
      </c>
      <c r="D110" s="6">
        <f>IFERROR((PPMT(Input!$E$55/12,B110,$C$6,Input!$E$54,-Input!$E$65,0))," ")</f>
        <v>-4545.0355673597705</v>
      </c>
      <c r="E110" s="6">
        <f>IFERROR(((IPMT(Input!$E$55/12,B110,$C$6,Input!$E$54,-Input!$E$65,0)))," ")</f>
        <v>-5772.4994348103319</v>
      </c>
      <c r="F110" s="6">
        <f t="shared" si="19"/>
        <v>-345090.61342692369</v>
      </c>
      <c r="G110" s="6">
        <f t="shared" si="18"/>
        <v>-614440.14177489595</v>
      </c>
      <c r="H110" s="6">
        <f t="shared" si="14"/>
        <v>-10317.535002170102</v>
      </c>
      <c r="I110" s="6">
        <f t="shared" si="15"/>
        <v>1254909.3865730762</v>
      </c>
      <c r="J110" s="6" t="str">
        <f>IF(B110&lt;&gt;"",IF(AND(Input!$H$54="Annual",MOD(B110,12)=0),Input!$J$54,IF(AND(Input!$H$54="1st Installment",B110=1),Input!$J$54,IF(Input!$H$54="Monthly",Input!$J$54,""))),"")</f>
        <v/>
      </c>
      <c r="K110" s="6" t="str">
        <f>IF(B110&lt;&gt;"",IF(AND(Input!$H$55="Annual",MOD(B110,12)=0),Input!$J$55,IF(AND(Input!$H$55="1st Installment",B110=1),Input!$J$55,IF(Input!$H$55="Monthly",Input!$J$55,""))),"")</f>
        <v/>
      </c>
      <c r="L110" s="6">
        <f>IF(B110&lt;&gt;"",IF(AND(Input!$H$56="Annual",MOD(B110,12)=0),Input!$J$56,IF(AND(Input!$H$56="1st Installment",B110=1),Input!$J$56,IF(Input!$H$56="Monthly",Input!$J$56,""))),"")</f>
        <v>208.33333333333334</v>
      </c>
      <c r="M110" s="6" t="str">
        <f>IF(B110&lt;&gt;"",IF(AND(Input!$H$57="Annual",MOD(B110,12)=0),Input!$J$57,IF(AND(Input!$H$57="1st Installment",B110=1),Input!$J$57,IF(Input!$H$57="Monthly",Input!$J$57,""))),"")</f>
        <v/>
      </c>
      <c r="N110" s="6" t="str">
        <f>IF(B110&lt;&gt;"",IF(AND(Input!$H$58="Annual",MOD(B110,12)=0),Input!$J$58,IF(AND(Input!$H$58="1st Installment",B110=1),Input!$J$58,IF(Input!$H$58="Monthly",Input!$J$58,IF(AND(Input!$H$58="End of the loan",B110=Input!$E$58),Input!$J$58,"")))),"")</f>
        <v/>
      </c>
      <c r="O110" s="6">
        <f t="shared" si="10"/>
        <v>208.33333333333334</v>
      </c>
      <c r="P110" s="4">
        <f t="shared" si="11"/>
        <v>10525.868335503435</v>
      </c>
      <c r="T110" s="9">
        <f t="shared" si="12"/>
        <v>48121</v>
      </c>
      <c r="U110" s="5">
        <f t="shared" si="13"/>
        <v>10525.87</v>
      </c>
    </row>
    <row r="111" spans="2:21" x14ac:dyDescent="0.2">
      <c r="B111" s="181">
        <f t="shared" si="16"/>
        <v>94</v>
      </c>
      <c r="C111" s="162">
        <f t="shared" si="17"/>
        <v>48151</v>
      </c>
      <c r="D111" s="6">
        <f>IFERROR((PPMT(Input!$E$55/12,B111,$C$6,Input!$E$54,-Input!$E$65,0))," ")</f>
        <v>-4565.8669803768362</v>
      </c>
      <c r="E111" s="6">
        <f>IFERROR(((IPMT(Input!$E$55/12,B111,$C$6,Input!$E$54,-Input!$E$65,0)))," ")</f>
        <v>-5751.6680217932662</v>
      </c>
      <c r="F111" s="6">
        <f t="shared" si="19"/>
        <v>-349656.48040730052</v>
      </c>
      <c r="G111" s="6">
        <f t="shared" si="18"/>
        <v>-620191.80979668919</v>
      </c>
      <c r="H111" s="6">
        <f t="shared" si="14"/>
        <v>-10317.535002170102</v>
      </c>
      <c r="I111" s="6">
        <f t="shared" si="15"/>
        <v>1250343.5195926996</v>
      </c>
      <c r="J111" s="6" t="str">
        <f>IF(B111&lt;&gt;"",IF(AND(Input!$H$54="Annual",MOD(B111,12)=0),Input!$J$54,IF(AND(Input!$H$54="1st Installment",B111=1),Input!$J$54,IF(Input!$H$54="Monthly",Input!$J$54,""))),"")</f>
        <v/>
      </c>
      <c r="K111" s="6" t="str">
        <f>IF(B111&lt;&gt;"",IF(AND(Input!$H$55="Annual",MOD(B111,12)=0),Input!$J$55,IF(AND(Input!$H$55="1st Installment",B111=1),Input!$J$55,IF(Input!$H$55="Monthly",Input!$J$55,""))),"")</f>
        <v/>
      </c>
      <c r="L111" s="6">
        <f>IF(B111&lt;&gt;"",IF(AND(Input!$H$56="Annual",MOD(B111,12)=0),Input!$J$56,IF(AND(Input!$H$56="1st Installment",B111=1),Input!$J$56,IF(Input!$H$56="Monthly",Input!$J$56,""))),"")</f>
        <v>208.33333333333334</v>
      </c>
      <c r="M111" s="6" t="str">
        <f>IF(B111&lt;&gt;"",IF(AND(Input!$H$57="Annual",MOD(B111,12)=0),Input!$J$57,IF(AND(Input!$H$57="1st Installment",B111=1),Input!$J$57,IF(Input!$H$57="Monthly",Input!$J$57,""))),"")</f>
        <v/>
      </c>
      <c r="N111" s="6" t="str">
        <f>IF(B111&lt;&gt;"",IF(AND(Input!$H$58="Annual",MOD(B111,12)=0),Input!$J$58,IF(AND(Input!$H$58="1st Installment",B111=1),Input!$J$58,IF(Input!$H$58="Monthly",Input!$J$58,IF(AND(Input!$H$58="End of the loan",B111=Input!$E$58),Input!$J$58,"")))),"")</f>
        <v/>
      </c>
      <c r="O111" s="6">
        <f t="shared" si="10"/>
        <v>208.33333333333334</v>
      </c>
      <c r="P111" s="4">
        <f t="shared" si="11"/>
        <v>10525.868335503435</v>
      </c>
      <c r="T111" s="9">
        <f t="shared" si="12"/>
        <v>48151</v>
      </c>
      <c r="U111" s="5">
        <f t="shared" si="13"/>
        <v>10525.87</v>
      </c>
    </row>
    <row r="112" spans="2:21" x14ac:dyDescent="0.2">
      <c r="B112" s="181">
        <f t="shared" si="16"/>
        <v>95</v>
      </c>
      <c r="C112" s="162">
        <f t="shared" si="17"/>
        <v>48182</v>
      </c>
      <c r="D112" s="6">
        <f>IFERROR((PPMT(Input!$E$55/12,B112,$C$6,Input!$E$54,-Input!$E$65,0))," ")</f>
        <v>-4586.7938707035628</v>
      </c>
      <c r="E112" s="6">
        <f>IFERROR(((IPMT(Input!$E$55/12,B112,$C$6,Input!$E$54,-Input!$E$65,0)))," ")</f>
        <v>-5730.7411314665378</v>
      </c>
      <c r="F112" s="6">
        <f t="shared" si="19"/>
        <v>-354243.27427800407</v>
      </c>
      <c r="G112" s="6">
        <f t="shared" si="18"/>
        <v>-625922.55092815578</v>
      </c>
      <c r="H112" s="6">
        <f t="shared" si="14"/>
        <v>-10317.535002170102</v>
      </c>
      <c r="I112" s="6">
        <f t="shared" si="15"/>
        <v>1245756.7257219958</v>
      </c>
      <c r="J112" s="6" t="str">
        <f>IF(B112&lt;&gt;"",IF(AND(Input!$H$54="Annual",MOD(B112,12)=0),Input!$J$54,IF(AND(Input!$H$54="1st Installment",B112=1),Input!$J$54,IF(Input!$H$54="Monthly",Input!$J$54,""))),"")</f>
        <v/>
      </c>
      <c r="K112" s="6" t="str">
        <f>IF(B112&lt;&gt;"",IF(AND(Input!$H$55="Annual",MOD(B112,12)=0),Input!$J$55,IF(AND(Input!$H$55="1st Installment",B112=1),Input!$J$55,IF(Input!$H$55="Monthly",Input!$J$55,""))),"")</f>
        <v/>
      </c>
      <c r="L112" s="6">
        <f>IF(B112&lt;&gt;"",IF(AND(Input!$H$56="Annual",MOD(B112,12)=0),Input!$J$56,IF(AND(Input!$H$56="1st Installment",B112=1),Input!$J$56,IF(Input!$H$56="Monthly",Input!$J$56,""))),"")</f>
        <v>208.33333333333334</v>
      </c>
      <c r="M112" s="6" t="str">
        <f>IF(B112&lt;&gt;"",IF(AND(Input!$H$57="Annual",MOD(B112,12)=0),Input!$J$57,IF(AND(Input!$H$57="1st Installment",B112=1),Input!$J$57,IF(Input!$H$57="Monthly",Input!$J$57,""))),"")</f>
        <v/>
      </c>
      <c r="N112" s="6" t="str">
        <f>IF(B112&lt;&gt;"",IF(AND(Input!$H$58="Annual",MOD(B112,12)=0),Input!$J$58,IF(AND(Input!$H$58="1st Installment",B112=1),Input!$J$58,IF(Input!$H$58="Monthly",Input!$J$58,IF(AND(Input!$H$58="End of the loan",B112=Input!$E$58),Input!$J$58,"")))),"")</f>
        <v/>
      </c>
      <c r="O112" s="6">
        <f t="shared" si="10"/>
        <v>208.33333333333334</v>
      </c>
      <c r="P112" s="4">
        <f t="shared" si="11"/>
        <v>10525.868335503435</v>
      </c>
      <c r="T112" s="9">
        <f t="shared" si="12"/>
        <v>48182</v>
      </c>
      <c r="U112" s="5">
        <f t="shared" si="13"/>
        <v>10525.87</v>
      </c>
    </row>
    <row r="113" spans="2:21" x14ac:dyDescent="0.2">
      <c r="B113" s="181">
        <f t="shared" si="16"/>
        <v>96</v>
      </c>
      <c r="C113" s="162">
        <f t="shared" si="17"/>
        <v>48212</v>
      </c>
      <c r="D113" s="6">
        <f>IFERROR((PPMT(Input!$E$55/12,B113,$C$6,Input!$E$54,-Input!$E$65,0))," ")</f>
        <v>-4607.8166759442875</v>
      </c>
      <c r="E113" s="6">
        <f>IFERROR(((IPMT(Input!$E$55/12,B113,$C$6,Input!$E$54,-Input!$E$65,0)))," ")</f>
        <v>-5709.7183262258131</v>
      </c>
      <c r="F113" s="6">
        <f t="shared" si="19"/>
        <v>-358851.09095394838</v>
      </c>
      <c r="G113" s="6">
        <f t="shared" si="18"/>
        <v>-631632.26925438154</v>
      </c>
      <c r="H113" s="6">
        <f t="shared" si="14"/>
        <v>-10317.535002170102</v>
      </c>
      <c r="I113" s="6">
        <f t="shared" si="15"/>
        <v>1241148.9090460516</v>
      </c>
      <c r="J113" s="6" t="str">
        <f>IF(B113&lt;&gt;"",IF(AND(Input!$H$54="Annual",MOD(B113,12)=0),Input!$J$54,IF(AND(Input!$H$54="1st Installment",B113=1),Input!$J$54,IF(Input!$H$54="Monthly",Input!$J$54,""))),"")</f>
        <v/>
      </c>
      <c r="K113" s="6">
        <f>IF(B113&lt;&gt;"",IF(AND(Input!$H$55="Annual",MOD(B113,12)=0),Input!$J$55,IF(AND(Input!$H$55="1st Installment",B113=1),Input!$J$55,IF(Input!$H$55="Monthly",Input!$J$55,""))),"")</f>
        <v>0</v>
      </c>
      <c r="L113" s="6">
        <f>IF(B113&lt;&gt;"",IF(AND(Input!$H$56="Annual",MOD(B113,12)=0),Input!$J$56,IF(AND(Input!$H$56="1st Installment",B113=1),Input!$J$56,IF(Input!$H$56="Monthly",Input!$J$56,""))),"")</f>
        <v>208.33333333333334</v>
      </c>
      <c r="M113" s="6" t="str">
        <f>IF(B113&lt;&gt;"",IF(AND(Input!$H$57="Annual",MOD(B113,12)=0),Input!$J$57,IF(AND(Input!$H$57="1st Installment",B113=1),Input!$J$57,IF(Input!$H$57="Monthly",Input!$J$57,""))),"")</f>
        <v/>
      </c>
      <c r="N113" s="6">
        <f>IF(B113&lt;&gt;"",IF(AND(Input!$H$58="Annual",MOD(B113,12)=0),Input!$J$58,IF(AND(Input!$H$58="1st Installment",B113=1),Input!$J$58,IF(Input!$H$58="Monthly",Input!$J$58,IF(AND(Input!$H$58="End of the loan",B113=Input!$E$58),Input!$J$58,"")))),"")</f>
        <v>0</v>
      </c>
      <c r="O113" s="6">
        <f t="shared" si="10"/>
        <v>208.33333333333334</v>
      </c>
      <c r="P113" s="4">
        <f t="shared" si="11"/>
        <v>10525.868335503435</v>
      </c>
      <c r="T113" s="9">
        <f t="shared" si="12"/>
        <v>48212</v>
      </c>
      <c r="U113" s="5">
        <f t="shared" si="13"/>
        <v>10525.87</v>
      </c>
    </row>
    <row r="114" spans="2:21" x14ac:dyDescent="0.2">
      <c r="B114" s="181">
        <f t="shared" si="16"/>
        <v>97</v>
      </c>
      <c r="C114" s="162">
        <f t="shared" si="17"/>
        <v>48243</v>
      </c>
      <c r="D114" s="6">
        <f>IFERROR((PPMT(Input!$E$55/12,B114,$C$6,Input!$E$54,-Input!$E$65,0))," ")</f>
        <v>-4628.9358357090323</v>
      </c>
      <c r="E114" s="6">
        <f>IFERROR(((IPMT(Input!$E$55/12,B114,$C$6,Input!$E$54,-Input!$E$65,0)))," ")</f>
        <v>-5688.5991664610692</v>
      </c>
      <c r="F114" s="6">
        <f t="shared" si="19"/>
        <v>-363480.02678965742</v>
      </c>
      <c r="G114" s="6">
        <f t="shared" si="18"/>
        <v>-637320.86842084257</v>
      </c>
      <c r="H114" s="6">
        <f t="shared" si="14"/>
        <v>-10317.535002170102</v>
      </c>
      <c r="I114" s="6">
        <f t="shared" si="15"/>
        <v>1236519.9732103427</v>
      </c>
      <c r="J114" s="6" t="str">
        <f>IF(B114&lt;&gt;"",IF(AND(Input!$H$54="Annual",MOD(B114,12)=0),Input!$J$54,IF(AND(Input!$H$54="1st Installment",B114=1),Input!$J$54,IF(Input!$H$54="Monthly",Input!$J$54,""))),"")</f>
        <v/>
      </c>
      <c r="K114" s="6" t="str">
        <f>IF(B114&lt;&gt;"",IF(AND(Input!$H$55="Annual",MOD(B114,12)=0),Input!$J$55,IF(AND(Input!$H$55="1st Installment",B114=1),Input!$J$55,IF(Input!$H$55="Monthly",Input!$J$55,""))),"")</f>
        <v/>
      </c>
      <c r="L114" s="6">
        <f>IF(B114&lt;&gt;"",IF(AND(Input!$H$56="Annual",MOD(B114,12)=0),Input!$J$56,IF(AND(Input!$H$56="1st Installment",B114=1),Input!$J$56,IF(Input!$H$56="Monthly",Input!$J$56,""))),"")</f>
        <v>208.33333333333334</v>
      </c>
      <c r="M114" s="6" t="str">
        <f>IF(B114&lt;&gt;"",IF(AND(Input!$H$57="Annual",MOD(B114,12)=0),Input!$J$57,IF(AND(Input!$H$57="1st Installment",B114=1),Input!$J$57,IF(Input!$H$57="Monthly",Input!$J$57,""))),"")</f>
        <v/>
      </c>
      <c r="N114" s="6" t="str">
        <f>IF(B114&lt;&gt;"",IF(AND(Input!$H$58="Annual",MOD(B114,12)=0),Input!$J$58,IF(AND(Input!$H$58="1st Installment",B114=1),Input!$J$58,IF(Input!$H$58="Monthly",Input!$J$58,IF(AND(Input!$H$58="End of the loan",B114=Input!$E$58),Input!$J$58,"")))),"")</f>
        <v/>
      </c>
      <c r="O114" s="6">
        <f t="shared" si="10"/>
        <v>208.33333333333334</v>
      </c>
      <c r="P114" s="4">
        <f t="shared" si="11"/>
        <v>10525.868335503435</v>
      </c>
      <c r="T114" s="9">
        <f t="shared" si="12"/>
        <v>48243</v>
      </c>
      <c r="U114" s="5">
        <f t="shared" si="13"/>
        <v>10525.87</v>
      </c>
    </row>
    <row r="115" spans="2:21" x14ac:dyDescent="0.2">
      <c r="B115" s="181">
        <f t="shared" si="16"/>
        <v>98</v>
      </c>
      <c r="C115" s="162">
        <f t="shared" si="17"/>
        <v>48273</v>
      </c>
      <c r="D115" s="6">
        <f>IFERROR((PPMT(Input!$E$55/12,B115,$C$6,Input!$E$54,-Input!$E$65,0))," ")</f>
        <v>-4650.1517916226985</v>
      </c>
      <c r="E115" s="6">
        <f>IFERROR(((IPMT(Input!$E$55/12,B115,$C$6,Input!$E$54,-Input!$E$65,0)))," ")</f>
        <v>-5667.3832105474021</v>
      </c>
      <c r="F115" s="6">
        <f t="shared" si="19"/>
        <v>-368130.17858128011</v>
      </c>
      <c r="G115" s="6">
        <f t="shared" si="18"/>
        <v>-642988.25163138995</v>
      </c>
      <c r="H115" s="6">
        <f t="shared" si="14"/>
        <v>-10317.535002170102</v>
      </c>
      <c r="I115" s="6">
        <f t="shared" si="15"/>
        <v>1231869.8214187198</v>
      </c>
      <c r="J115" s="6" t="str">
        <f>IF(B115&lt;&gt;"",IF(AND(Input!$H$54="Annual",MOD(B115,12)=0),Input!$J$54,IF(AND(Input!$H$54="1st Installment",B115=1),Input!$J$54,IF(Input!$H$54="Monthly",Input!$J$54,""))),"")</f>
        <v/>
      </c>
      <c r="K115" s="6" t="str">
        <f>IF(B115&lt;&gt;"",IF(AND(Input!$H$55="Annual",MOD(B115,12)=0),Input!$J$55,IF(AND(Input!$H$55="1st Installment",B115=1),Input!$J$55,IF(Input!$H$55="Monthly",Input!$J$55,""))),"")</f>
        <v/>
      </c>
      <c r="L115" s="6">
        <f>IF(B115&lt;&gt;"",IF(AND(Input!$H$56="Annual",MOD(B115,12)=0),Input!$J$56,IF(AND(Input!$H$56="1st Installment",B115=1),Input!$J$56,IF(Input!$H$56="Monthly",Input!$J$56,""))),"")</f>
        <v>208.33333333333334</v>
      </c>
      <c r="M115" s="6" t="str">
        <f>IF(B115&lt;&gt;"",IF(AND(Input!$H$57="Annual",MOD(B115,12)=0),Input!$J$57,IF(AND(Input!$H$57="1st Installment",B115=1),Input!$J$57,IF(Input!$H$57="Monthly",Input!$J$57,""))),"")</f>
        <v/>
      </c>
      <c r="N115" s="6" t="str">
        <f>IF(B115&lt;&gt;"",IF(AND(Input!$H$58="Annual",MOD(B115,12)=0),Input!$J$58,IF(AND(Input!$H$58="1st Installment",B115=1),Input!$J$58,IF(Input!$H$58="Monthly",Input!$J$58,IF(AND(Input!$H$58="End of the loan",B115=Input!$E$58),Input!$J$58,"")))),"")</f>
        <v/>
      </c>
      <c r="O115" s="6">
        <f t="shared" si="10"/>
        <v>208.33333333333334</v>
      </c>
      <c r="P115" s="4">
        <f t="shared" si="11"/>
        <v>10525.868335503435</v>
      </c>
      <c r="T115" s="9">
        <f t="shared" si="12"/>
        <v>48273</v>
      </c>
      <c r="U115" s="5">
        <f t="shared" si="13"/>
        <v>10525.87</v>
      </c>
    </row>
    <row r="116" spans="2:21" x14ac:dyDescent="0.2">
      <c r="B116" s="181">
        <f t="shared" si="16"/>
        <v>99</v>
      </c>
      <c r="C116" s="162">
        <f t="shared" si="17"/>
        <v>48303</v>
      </c>
      <c r="D116" s="6">
        <f>IFERROR((PPMT(Input!$E$55/12,B116,$C$6,Input!$E$54,-Input!$E$65,0))," ")</f>
        <v>-4671.4649873343033</v>
      </c>
      <c r="E116" s="6">
        <f>IFERROR(((IPMT(Input!$E$55/12,B116,$C$6,Input!$E$54,-Input!$E$65,0)))," ")</f>
        <v>-5646.0700148357992</v>
      </c>
      <c r="F116" s="6">
        <f t="shared" si="19"/>
        <v>-372801.64356861444</v>
      </c>
      <c r="G116" s="6">
        <f t="shared" si="18"/>
        <v>-648634.32164622576</v>
      </c>
      <c r="H116" s="6">
        <f t="shared" si="14"/>
        <v>-10317.535002170102</v>
      </c>
      <c r="I116" s="6">
        <f t="shared" si="15"/>
        <v>1227198.3564313855</v>
      </c>
      <c r="J116" s="6" t="str">
        <f>IF(B116&lt;&gt;"",IF(AND(Input!$H$54="Annual",MOD(B116,12)=0),Input!$J$54,IF(AND(Input!$H$54="1st Installment",B116=1),Input!$J$54,IF(Input!$H$54="Monthly",Input!$J$54,""))),"")</f>
        <v/>
      </c>
      <c r="K116" s="6" t="str">
        <f>IF(B116&lt;&gt;"",IF(AND(Input!$H$55="Annual",MOD(B116,12)=0),Input!$J$55,IF(AND(Input!$H$55="1st Installment",B116=1),Input!$J$55,IF(Input!$H$55="Monthly",Input!$J$55,""))),"")</f>
        <v/>
      </c>
      <c r="L116" s="6">
        <f>IF(B116&lt;&gt;"",IF(AND(Input!$H$56="Annual",MOD(B116,12)=0),Input!$J$56,IF(AND(Input!$H$56="1st Installment",B116=1),Input!$J$56,IF(Input!$H$56="Monthly",Input!$J$56,""))),"")</f>
        <v>208.33333333333334</v>
      </c>
      <c r="M116" s="6" t="str">
        <f>IF(B116&lt;&gt;"",IF(AND(Input!$H$57="Annual",MOD(B116,12)=0),Input!$J$57,IF(AND(Input!$H$57="1st Installment",B116=1),Input!$J$57,IF(Input!$H$57="Monthly",Input!$J$57,""))),"")</f>
        <v/>
      </c>
      <c r="N116" s="6" t="str">
        <f>IF(B116&lt;&gt;"",IF(AND(Input!$H$58="Annual",MOD(B116,12)=0),Input!$J$58,IF(AND(Input!$H$58="1st Installment",B116=1),Input!$J$58,IF(Input!$H$58="Monthly",Input!$J$58,IF(AND(Input!$H$58="End of the loan",B116=Input!$E$58),Input!$J$58,"")))),"")</f>
        <v/>
      </c>
      <c r="O116" s="6">
        <f t="shared" si="10"/>
        <v>208.33333333333334</v>
      </c>
      <c r="P116" s="4">
        <f t="shared" si="11"/>
        <v>10525.868335503435</v>
      </c>
      <c r="T116" s="9">
        <f t="shared" si="12"/>
        <v>48303</v>
      </c>
      <c r="U116" s="5">
        <f t="shared" si="13"/>
        <v>10525.87</v>
      </c>
    </row>
    <row r="117" spans="2:21" x14ac:dyDescent="0.2">
      <c r="B117" s="181">
        <f t="shared" si="16"/>
        <v>100</v>
      </c>
      <c r="C117" s="162">
        <f t="shared" si="17"/>
        <v>48334</v>
      </c>
      <c r="D117" s="6">
        <f>IFERROR((PPMT(Input!$E$55/12,B117,$C$6,Input!$E$54,-Input!$E$65,0))," ")</f>
        <v>-4692.875868526251</v>
      </c>
      <c r="E117" s="6">
        <f>IFERROR(((IPMT(Input!$E$55/12,B117,$C$6,Input!$E$54,-Input!$E$65,0)))," ")</f>
        <v>-5624.6591336438505</v>
      </c>
      <c r="F117" s="6">
        <f t="shared" si="19"/>
        <v>-377494.51943714067</v>
      </c>
      <c r="G117" s="6">
        <f t="shared" si="18"/>
        <v>-654258.9807798696</v>
      </c>
      <c r="H117" s="6">
        <f t="shared" si="14"/>
        <v>-10317.535002170102</v>
      </c>
      <c r="I117" s="6">
        <f t="shared" si="15"/>
        <v>1222505.4805628592</v>
      </c>
      <c r="J117" s="6" t="str">
        <f>IF(B117&lt;&gt;"",IF(AND(Input!$H$54="Annual",MOD(B117,12)=0),Input!$J$54,IF(AND(Input!$H$54="1st Installment",B117=1),Input!$J$54,IF(Input!$H$54="Monthly",Input!$J$54,""))),"")</f>
        <v/>
      </c>
      <c r="K117" s="6" t="str">
        <f>IF(B117&lt;&gt;"",IF(AND(Input!$H$55="Annual",MOD(B117,12)=0),Input!$J$55,IF(AND(Input!$H$55="1st Installment",B117=1),Input!$J$55,IF(Input!$H$55="Monthly",Input!$J$55,""))),"")</f>
        <v/>
      </c>
      <c r="L117" s="6">
        <f>IF(B117&lt;&gt;"",IF(AND(Input!$H$56="Annual",MOD(B117,12)=0),Input!$J$56,IF(AND(Input!$H$56="1st Installment",B117=1),Input!$J$56,IF(Input!$H$56="Monthly",Input!$J$56,""))),"")</f>
        <v>208.33333333333334</v>
      </c>
      <c r="M117" s="6" t="str">
        <f>IF(B117&lt;&gt;"",IF(AND(Input!$H$57="Annual",MOD(B117,12)=0),Input!$J$57,IF(AND(Input!$H$57="1st Installment",B117=1),Input!$J$57,IF(Input!$H$57="Monthly",Input!$J$57,""))),"")</f>
        <v/>
      </c>
      <c r="N117" s="6" t="str">
        <f>IF(B117&lt;&gt;"",IF(AND(Input!$H$58="Annual",MOD(B117,12)=0),Input!$J$58,IF(AND(Input!$H$58="1st Installment",B117=1),Input!$J$58,IF(Input!$H$58="Monthly",Input!$J$58,IF(AND(Input!$H$58="End of the loan",B117=Input!$E$58),Input!$J$58,"")))),"")</f>
        <v/>
      </c>
      <c r="O117" s="6">
        <f t="shared" si="10"/>
        <v>208.33333333333334</v>
      </c>
      <c r="P117" s="4">
        <f t="shared" si="11"/>
        <v>10525.868335503435</v>
      </c>
      <c r="T117" s="9">
        <f t="shared" si="12"/>
        <v>48334</v>
      </c>
      <c r="U117" s="5">
        <f t="shared" si="13"/>
        <v>10525.87</v>
      </c>
    </row>
    <row r="118" spans="2:21" x14ac:dyDescent="0.2">
      <c r="B118" s="181">
        <f t="shared" si="16"/>
        <v>101</v>
      </c>
      <c r="C118" s="162">
        <f t="shared" si="17"/>
        <v>48364</v>
      </c>
      <c r="D118" s="6">
        <f>IFERROR((PPMT(Input!$E$55/12,B118,$C$6,Input!$E$54,-Input!$E$65,0))," ")</f>
        <v>-4714.3848829236631</v>
      </c>
      <c r="E118" s="6">
        <f>IFERROR(((IPMT(Input!$E$55/12,B118,$C$6,Input!$E$54,-Input!$E$65,0)))," ")</f>
        <v>-5603.1501192464384</v>
      </c>
      <c r="F118" s="6">
        <f t="shared" si="19"/>
        <v>-382208.90432006435</v>
      </c>
      <c r="G118" s="6">
        <f t="shared" si="18"/>
        <v>-659862.13089911605</v>
      </c>
      <c r="H118" s="6">
        <f t="shared" si="14"/>
        <v>-10317.535002170102</v>
      </c>
      <c r="I118" s="6">
        <f t="shared" si="15"/>
        <v>1217791.0956799355</v>
      </c>
      <c r="J118" s="6" t="str">
        <f>IF(B118&lt;&gt;"",IF(AND(Input!$H$54="Annual",MOD(B118,12)=0),Input!$J$54,IF(AND(Input!$H$54="1st Installment",B118=1),Input!$J$54,IF(Input!$H$54="Monthly",Input!$J$54,""))),"")</f>
        <v/>
      </c>
      <c r="K118" s="6" t="str">
        <f>IF(B118&lt;&gt;"",IF(AND(Input!$H$55="Annual",MOD(B118,12)=0),Input!$J$55,IF(AND(Input!$H$55="1st Installment",B118=1),Input!$J$55,IF(Input!$H$55="Monthly",Input!$J$55,""))),"")</f>
        <v/>
      </c>
      <c r="L118" s="6">
        <f>IF(B118&lt;&gt;"",IF(AND(Input!$H$56="Annual",MOD(B118,12)=0),Input!$J$56,IF(AND(Input!$H$56="1st Installment",B118=1),Input!$J$56,IF(Input!$H$56="Monthly",Input!$J$56,""))),"")</f>
        <v>208.33333333333334</v>
      </c>
      <c r="M118" s="6" t="str">
        <f>IF(B118&lt;&gt;"",IF(AND(Input!$H$57="Annual",MOD(B118,12)=0),Input!$J$57,IF(AND(Input!$H$57="1st Installment",B118=1),Input!$J$57,IF(Input!$H$57="Monthly",Input!$J$57,""))),"")</f>
        <v/>
      </c>
      <c r="N118" s="6" t="str">
        <f>IF(B118&lt;&gt;"",IF(AND(Input!$H$58="Annual",MOD(B118,12)=0),Input!$J$58,IF(AND(Input!$H$58="1st Installment",B118=1),Input!$J$58,IF(Input!$H$58="Monthly",Input!$J$58,IF(AND(Input!$H$58="End of the loan",B118=Input!$E$58),Input!$J$58,"")))),"")</f>
        <v/>
      </c>
      <c r="O118" s="6">
        <f t="shared" si="10"/>
        <v>208.33333333333334</v>
      </c>
      <c r="P118" s="4">
        <f t="shared" si="11"/>
        <v>10525.868335503435</v>
      </c>
      <c r="T118" s="9">
        <f t="shared" si="12"/>
        <v>48364</v>
      </c>
      <c r="U118" s="5">
        <f t="shared" si="13"/>
        <v>10525.87</v>
      </c>
    </row>
    <row r="119" spans="2:21" x14ac:dyDescent="0.2">
      <c r="B119" s="181">
        <f t="shared" si="16"/>
        <v>102</v>
      </c>
      <c r="C119" s="162">
        <f t="shared" si="17"/>
        <v>48395</v>
      </c>
      <c r="D119" s="6">
        <f>IFERROR((PPMT(Input!$E$55/12,B119,$C$6,Input!$E$54,-Input!$E$65,0))," ")</f>
        <v>-4735.9924803037302</v>
      </c>
      <c r="E119" s="6">
        <f>IFERROR(((IPMT(Input!$E$55/12,B119,$C$6,Input!$E$54,-Input!$E$65,0)))," ")</f>
        <v>-5581.5425218663713</v>
      </c>
      <c r="F119" s="6">
        <f t="shared" si="19"/>
        <v>-386944.89680036809</v>
      </c>
      <c r="G119" s="6">
        <f t="shared" si="18"/>
        <v>-665443.67342098244</v>
      </c>
      <c r="H119" s="6">
        <f t="shared" si="14"/>
        <v>-10317.535002170102</v>
      </c>
      <c r="I119" s="6">
        <f t="shared" si="15"/>
        <v>1213055.1031996319</v>
      </c>
      <c r="J119" s="6" t="str">
        <f>IF(B119&lt;&gt;"",IF(AND(Input!$H$54="Annual",MOD(B119,12)=0),Input!$J$54,IF(AND(Input!$H$54="1st Installment",B119=1),Input!$J$54,IF(Input!$H$54="Monthly",Input!$J$54,""))),"")</f>
        <v/>
      </c>
      <c r="K119" s="6" t="str">
        <f>IF(B119&lt;&gt;"",IF(AND(Input!$H$55="Annual",MOD(B119,12)=0),Input!$J$55,IF(AND(Input!$H$55="1st Installment",B119=1),Input!$J$55,IF(Input!$H$55="Monthly",Input!$J$55,""))),"")</f>
        <v/>
      </c>
      <c r="L119" s="6">
        <f>IF(B119&lt;&gt;"",IF(AND(Input!$H$56="Annual",MOD(B119,12)=0),Input!$J$56,IF(AND(Input!$H$56="1st Installment",B119=1),Input!$J$56,IF(Input!$H$56="Monthly",Input!$J$56,""))),"")</f>
        <v>208.33333333333334</v>
      </c>
      <c r="M119" s="6" t="str">
        <f>IF(B119&lt;&gt;"",IF(AND(Input!$H$57="Annual",MOD(B119,12)=0),Input!$J$57,IF(AND(Input!$H$57="1st Installment",B119=1),Input!$J$57,IF(Input!$H$57="Monthly",Input!$J$57,""))),"")</f>
        <v/>
      </c>
      <c r="N119" s="6" t="str">
        <f>IF(B119&lt;&gt;"",IF(AND(Input!$H$58="Annual",MOD(B119,12)=0),Input!$J$58,IF(AND(Input!$H$58="1st Installment",B119=1),Input!$J$58,IF(Input!$H$58="Monthly",Input!$J$58,IF(AND(Input!$H$58="End of the loan",B119=Input!$E$58),Input!$J$58,"")))),"")</f>
        <v/>
      </c>
      <c r="O119" s="6">
        <f t="shared" si="10"/>
        <v>208.33333333333334</v>
      </c>
      <c r="P119" s="4">
        <f t="shared" si="11"/>
        <v>10525.868335503435</v>
      </c>
      <c r="T119" s="9">
        <f t="shared" si="12"/>
        <v>48395</v>
      </c>
      <c r="U119" s="5">
        <f t="shared" si="13"/>
        <v>10525.87</v>
      </c>
    </row>
    <row r="120" spans="2:21" x14ac:dyDescent="0.2">
      <c r="B120" s="181">
        <f t="shared" si="16"/>
        <v>103</v>
      </c>
      <c r="C120" s="162">
        <f t="shared" si="17"/>
        <v>48425</v>
      </c>
      <c r="D120" s="6">
        <f>IFERROR((PPMT(Input!$E$55/12,B120,$C$6,Input!$E$54,-Input!$E$65,0))," ")</f>
        <v>-4757.6991125051227</v>
      </c>
      <c r="E120" s="6">
        <f>IFERROR(((IPMT(Input!$E$55/12,B120,$C$6,Input!$E$54,-Input!$E$65,0)))," ")</f>
        <v>-5559.8358896649788</v>
      </c>
      <c r="F120" s="6">
        <f t="shared" si="19"/>
        <v>-391702.59591287322</v>
      </c>
      <c r="G120" s="6">
        <f t="shared" si="18"/>
        <v>-671003.50931064738</v>
      </c>
      <c r="H120" s="6">
        <f t="shared" si="14"/>
        <v>-10317.535002170102</v>
      </c>
      <c r="I120" s="6">
        <f t="shared" si="15"/>
        <v>1208297.4040871267</v>
      </c>
      <c r="J120" s="6" t="str">
        <f>IF(B120&lt;&gt;"",IF(AND(Input!$H$54="Annual",MOD(B120,12)=0),Input!$J$54,IF(AND(Input!$H$54="1st Installment",B120=1),Input!$J$54,IF(Input!$H$54="Monthly",Input!$J$54,""))),"")</f>
        <v/>
      </c>
      <c r="K120" s="6" t="str">
        <f>IF(B120&lt;&gt;"",IF(AND(Input!$H$55="Annual",MOD(B120,12)=0),Input!$J$55,IF(AND(Input!$H$55="1st Installment",B120=1),Input!$J$55,IF(Input!$H$55="Monthly",Input!$J$55,""))),"")</f>
        <v/>
      </c>
      <c r="L120" s="6">
        <f>IF(B120&lt;&gt;"",IF(AND(Input!$H$56="Annual",MOD(B120,12)=0),Input!$J$56,IF(AND(Input!$H$56="1st Installment",B120=1),Input!$J$56,IF(Input!$H$56="Monthly",Input!$J$56,""))),"")</f>
        <v>208.33333333333334</v>
      </c>
      <c r="M120" s="6" t="str">
        <f>IF(B120&lt;&gt;"",IF(AND(Input!$H$57="Annual",MOD(B120,12)=0),Input!$J$57,IF(AND(Input!$H$57="1st Installment",B120=1),Input!$J$57,IF(Input!$H$57="Monthly",Input!$J$57,""))),"")</f>
        <v/>
      </c>
      <c r="N120" s="6" t="str">
        <f>IF(B120&lt;&gt;"",IF(AND(Input!$H$58="Annual",MOD(B120,12)=0),Input!$J$58,IF(AND(Input!$H$58="1st Installment",B120=1),Input!$J$58,IF(Input!$H$58="Monthly",Input!$J$58,IF(AND(Input!$H$58="End of the loan",B120=Input!$E$58),Input!$J$58,"")))),"")</f>
        <v/>
      </c>
      <c r="O120" s="6">
        <f t="shared" si="10"/>
        <v>208.33333333333334</v>
      </c>
      <c r="P120" s="4">
        <f t="shared" si="11"/>
        <v>10525.868335503435</v>
      </c>
      <c r="T120" s="9">
        <f t="shared" si="12"/>
        <v>48425</v>
      </c>
      <c r="U120" s="5">
        <f t="shared" si="13"/>
        <v>10525.87</v>
      </c>
    </row>
    <row r="121" spans="2:21" x14ac:dyDescent="0.2">
      <c r="B121" s="181">
        <f t="shared" si="16"/>
        <v>104</v>
      </c>
      <c r="C121" s="162">
        <f t="shared" si="17"/>
        <v>48456</v>
      </c>
      <c r="D121" s="6">
        <f>IFERROR((PPMT(Input!$E$55/12,B121,$C$6,Input!$E$54,-Input!$E$65,0))," ")</f>
        <v>-4779.5052334374377</v>
      </c>
      <c r="E121" s="6">
        <f>IFERROR(((IPMT(Input!$E$55/12,B121,$C$6,Input!$E$54,-Input!$E$65,0)))," ")</f>
        <v>-5538.0297687326638</v>
      </c>
      <c r="F121" s="6">
        <f t="shared" si="19"/>
        <v>-396482.10114631068</v>
      </c>
      <c r="G121" s="6">
        <f t="shared" si="18"/>
        <v>-676541.53907937999</v>
      </c>
      <c r="H121" s="6">
        <f t="shared" si="14"/>
        <v>-10317.535002170102</v>
      </c>
      <c r="I121" s="6">
        <f t="shared" si="15"/>
        <v>1203517.8988536894</v>
      </c>
      <c r="J121" s="6" t="str">
        <f>IF(B121&lt;&gt;"",IF(AND(Input!$H$54="Annual",MOD(B121,12)=0),Input!$J$54,IF(AND(Input!$H$54="1st Installment",B121=1),Input!$J$54,IF(Input!$H$54="Monthly",Input!$J$54,""))),"")</f>
        <v/>
      </c>
      <c r="K121" s="6" t="str">
        <f>IF(B121&lt;&gt;"",IF(AND(Input!$H$55="Annual",MOD(B121,12)=0),Input!$J$55,IF(AND(Input!$H$55="1st Installment",B121=1),Input!$J$55,IF(Input!$H$55="Monthly",Input!$J$55,""))),"")</f>
        <v/>
      </c>
      <c r="L121" s="6">
        <f>IF(B121&lt;&gt;"",IF(AND(Input!$H$56="Annual",MOD(B121,12)=0),Input!$J$56,IF(AND(Input!$H$56="1st Installment",B121=1),Input!$J$56,IF(Input!$H$56="Monthly",Input!$J$56,""))),"")</f>
        <v>208.33333333333334</v>
      </c>
      <c r="M121" s="6" t="str">
        <f>IF(B121&lt;&gt;"",IF(AND(Input!$H$57="Annual",MOD(B121,12)=0),Input!$J$57,IF(AND(Input!$H$57="1st Installment",B121=1),Input!$J$57,IF(Input!$H$57="Monthly",Input!$J$57,""))),"")</f>
        <v/>
      </c>
      <c r="N121" s="6" t="str">
        <f>IF(B121&lt;&gt;"",IF(AND(Input!$H$58="Annual",MOD(B121,12)=0),Input!$J$58,IF(AND(Input!$H$58="1st Installment",B121=1),Input!$J$58,IF(Input!$H$58="Monthly",Input!$J$58,IF(AND(Input!$H$58="End of the loan",B121=Input!$E$58),Input!$J$58,"")))),"")</f>
        <v/>
      </c>
      <c r="O121" s="6">
        <f t="shared" si="10"/>
        <v>208.33333333333334</v>
      </c>
      <c r="P121" s="4">
        <f t="shared" si="11"/>
        <v>10525.868335503435</v>
      </c>
      <c r="T121" s="9">
        <f t="shared" si="12"/>
        <v>48456</v>
      </c>
      <c r="U121" s="5">
        <f t="shared" si="13"/>
        <v>10525.87</v>
      </c>
    </row>
    <row r="122" spans="2:21" x14ac:dyDescent="0.2">
      <c r="B122" s="181">
        <f t="shared" si="16"/>
        <v>105</v>
      </c>
      <c r="C122" s="162">
        <f t="shared" si="17"/>
        <v>48487</v>
      </c>
      <c r="D122" s="6">
        <f>IFERROR((PPMT(Input!$E$55/12,B122,$C$6,Input!$E$54,-Input!$E$65,0))," ")</f>
        <v>-4801.4112990906924</v>
      </c>
      <c r="E122" s="6">
        <f>IFERROR(((IPMT(Input!$E$55/12,B122,$C$6,Input!$E$54,-Input!$E$65,0)))," ")</f>
        <v>-5516.1237030794082</v>
      </c>
      <c r="F122" s="6">
        <f t="shared" si="19"/>
        <v>-401283.5124454014</v>
      </c>
      <c r="G122" s="6">
        <f t="shared" si="18"/>
        <v>-682057.6627824594</v>
      </c>
      <c r="H122" s="6">
        <f t="shared" si="14"/>
        <v>-10317.535002170102</v>
      </c>
      <c r="I122" s="6">
        <f t="shared" si="15"/>
        <v>1198716.4875545986</v>
      </c>
      <c r="J122" s="6" t="str">
        <f>IF(B122&lt;&gt;"",IF(AND(Input!$H$54="Annual",MOD(B122,12)=0),Input!$J$54,IF(AND(Input!$H$54="1st Installment",B122=1),Input!$J$54,IF(Input!$H$54="Monthly",Input!$J$54,""))),"")</f>
        <v/>
      </c>
      <c r="K122" s="6" t="str">
        <f>IF(B122&lt;&gt;"",IF(AND(Input!$H$55="Annual",MOD(B122,12)=0),Input!$J$55,IF(AND(Input!$H$55="1st Installment",B122=1),Input!$J$55,IF(Input!$H$55="Monthly",Input!$J$55,""))),"")</f>
        <v/>
      </c>
      <c r="L122" s="6">
        <f>IF(B122&lt;&gt;"",IF(AND(Input!$H$56="Annual",MOD(B122,12)=0),Input!$J$56,IF(AND(Input!$H$56="1st Installment",B122=1),Input!$J$56,IF(Input!$H$56="Monthly",Input!$J$56,""))),"")</f>
        <v>208.33333333333334</v>
      </c>
      <c r="M122" s="6" t="str">
        <f>IF(B122&lt;&gt;"",IF(AND(Input!$H$57="Annual",MOD(B122,12)=0),Input!$J$57,IF(AND(Input!$H$57="1st Installment",B122=1),Input!$J$57,IF(Input!$H$57="Monthly",Input!$J$57,""))),"")</f>
        <v/>
      </c>
      <c r="N122" s="6" t="str">
        <f>IF(B122&lt;&gt;"",IF(AND(Input!$H$58="Annual",MOD(B122,12)=0),Input!$J$58,IF(AND(Input!$H$58="1st Installment",B122=1),Input!$J$58,IF(Input!$H$58="Monthly",Input!$J$58,IF(AND(Input!$H$58="End of the loan",B122=Input!$E$58),Input!$J$58,"")))),"")</f>
        <v/>
      </c>
      <c r="O122" s="6">
        <f t="shared" si="10"/>
        <v>208.33333333333334</v>
      </c>
      <c r="P122" s="4">
        <f t="shared" si="11"/>
        <v>10525.868335503435</v>
      </c>
      <c r="T122" s="9">
        <f t="shared" si="12"/>
        <v>48487</v>
      </c>
      <c r="U122" s="5">
        <f t="shared" si="13"/>
        <v>10525.87</v>
      </c>
    </row>
    <row r="123" spans="2:21" x14ac:dyDescent="0.2">
      <c r="B123" s="181">
        <f t="shared" si="16"/>
        <v>106</v>
      </c>
      <c r="C123" s="162">
        <f t="shared" si="17"/>
        <v>48517</v>
      </c>
      <c r="D123" s="6">
        <f>IFERROR((PPMT(Input!$E$55/12,B123,$C$6,Input!$E$54,-Input!$E$65,0))," ")</f>
        <v>-4823.4177675448591</v>
      </c>
      <c r="E123" s="6">
        <f>IFERROR(((IPMT(Input!$E$55/12,B123,$C$6,Input!$E$54,-Input!$E$65,0)))," ")</f>
        <v>-5494.1172346252433</v>
      </c>
      <c r="F123" s="6">
        <f t="shared" si="19"/>
        <v>-406106.93021294626</v>
      </c>
      <c r="G123" s="6">
        <f t="shared" si="18"/>
        <v>-687551.78001708467</v>
      </c>
      <c r="H123" s="6">
        <f t="shared" si="14"/>
        <v>-10317.535002170102</v>
      </c>
      <c r="I123" s="6">
        <f t="shared" si="15"/>
        <v>1193893.0697870539</v>
      </c>
      <c r="J123" s="6" t="str">
        <f>IF(B123&lt;&gt;"",IF(AND(Input!$H$54="Annual",MOD(B123,12)=0),Input!$J$54,IF(AND(Input!$H$54="1st Installment",B123=1),Input!$J$54,IF(Input!$H$54="Monthly",Input!$J$54,""))),"")</f>
        <v/>
      </c>
      <c r="K123" s="6" t="str">
        <f>IF(B123&lt;&gt;"",IF(AND(Input!$H$55="Annual",MOD(B123,12)=0),Input!$J$55,IF(AND(Input!$H$55="1st Installment",B123=1),Input!$J$55,IF(Input!$H$55="Monthly",Input!$J$55,""))),"")</f>
        <v/>
      </c>
      <c r="L123" s="6">
        <f>IF(B123&lt;&gt;"",IF(AND(Input!$H$56="Annual",MOD(B123,12)=0),Input!$J$56,IF(AND(Input!$H$56="1st Installment",B123=1),Input!$J$56,IF(Input!$H$56="Monthly",Input!$J$56,""))),"")</f>
        <v>208.33333333333334</v>
      </c>
      <c r="M123" s="6" t="str">
        <f>IF(B123&lt;&gt;"",IF(AND(Input!$H$57="Annual",MOD(B123,12)=0),Input!$J$57,IF(AND(Input!$H$57="1st Installment",B123=1),Input!$J$57,IF(Input!$H$57="Monthly",Input!$J$57,""))),"")</f>
        <v/>
      </c>
      <c r="N123" s="6" t="str">
        <f>IF(B123&lt;&gt;"",IF(AND(Input!$H$58="Annual",MOD(B123,12)=0),Input!$J$58,IF(AND(Input!$H$58="1st Installment",B123=1),Input!$J$58,IF(Input!$H$58="Monthly",Input!$J$58,IF(AND(Input!$H$58="End of the loan",B123=Input!$E$58),Input!$J$58,"")))),"")</f>
        <v/>
      </c>
      <c r="O123" s="6">
        <f t="shared" si="10"/>
        <v>208.33333333333334</v>
      </c>
      <c r="P123" s="4">
        <f t="shared" si="11"/>
        <v>10525.868335503435</v>
      </c>
      <c r="T123" s="9">
        <f t="shared" si="12"/>
        <v>48517</v>
      </c>
      <c r="U123" s="5">
        <f t="shared" si="13"/>
        <v>10525.87</v>
      </c>
    </row>
    <row r="124" spans="2:21" x14ac:dyDescent="0.2">
      <c r="B124" s="181">
        <f t="shared" si="16"/>
        <v>107</v>
      </c>
      <c r="C124" s="162">
        <f t="shared" si="17"/>
        <v>48548</v>
      </c>
      <c r="D124" s="6">
        <f>IFERROR((PPMT(Input!$E$55/12,B124,$C$6,Input!$E$54,-Input!$E$65,0))," ")</f>
        <v>-4845.5250989794386</v>
      </c>
      <c r="E124" s="6">
        <f>IFERROR(((IPMT(Input!$E$55/12,B124,$C$6,Input!$E$54,-Input!$E$65,0)))," ")</f>
        <v>-5472.009903190662</v>
      </c>
      <c r="F124" s="6">
        <f t="shared" si="19"/>
        <v>-410952.45531192567</v>
      </c>
      <c r="G124" s="6">
        <f t="shared" si="18"/>
        <v>-693023.78992027533</v>
      </c>
      <c r="H124" s="6">
        <f t="shared" si="14"/>
        <v>-10317.535002170102</v>
      </c>
      <c r="I124" s="6">
        <f t="shared" si="15"/>
        <v>1189047.5446880744</v>
      </c>
      <c r="J124" s="6" t="str">
        <f>IF(B124&lt;&gt;"",IF(AND(Input!$H$54="Annual",MOD(B124,12)=0),Input!$J$54,IF(AND(Input!$H$54="1st Installment",B124=1),Input!$J$54,IF(Input!$H$54="Monthly",Input!$J$54,""))),"")</f>
        <v/>
      </c>
      <c r="K124" s="6" t="str">
        <f>IF(B124&lt;&gt;"",IF(AND(Input!$H$55="Annual",MOD(B124,12)=0),Input!$J$55,IF(AND(Input!$H$55="1st Installment",B124=1),Input!$J$55,IF(Input!$H$55="Monthly",Input!$J$55,""))),"")</f>
        <v/>
      </c>
      <c r="L124" s="6">
        <f>IF(B124&lt;&gt;"",IF(AND(Input!$H$56="Annual",MOD(B124,12)=0),Input!$J$56,IF(AND(Input!$H$56="1st Installment",B124=1),Input!$J$56,IF(Input!$H$56="Monthly",Input!$J$56,""))),"")</f>
        <v>208.33333333333334</v>
      </c>
      <c r="M124" s="6" t="str">
        <f>IF(B124&lt;&gt;"",IF(AND(Input!$H$57="Annual",MOD(B124,12)=0),Input!$J$57,IF(AND(Input!$H$57="1st Installment",B124=1),Input!$J$57,IF(Input!$H$57="Monthly",Input!$J$57,""))),"")</f>
        <v/>
      </c>
      <c r="N124" s="6" t="str">
        <f>IF(B124&lt;&gt;"",IF(AND(Input!$H$58="Annual",MOD(B124,12)=0),Input!$J$58,IF(AND(Input!$H$58="1st Installment",B124=1),Input!$J$58,IF(Input!$H$58="Monthly",Input!$J$58,IF(AND(Input!$H$58="End of the loan",B124=Input!$E$58),Input!$J$58,"")))),"")</f>
        <v/>
      </c>
      <c r="O124" s="6">
        <f t="shared" si="10"/>
        <v>208.33333333333334</v>
      </c>
      <c r="P124" s="4">
        <f t="shared" si="11"/>
        <v>10525.868335503435</v>
      </c>
      <c r="T124" s="9">
        <f t="shared" si="12"/>
        <v>48548</v>
      </c>
      <c r="U124" s="5">
        <f t="shared" si="13"/>
        <v>10525.87</v>
      </c>
    </row>
    <row r="125" spans="2:21" x14ac:dyDescent="0.2">
      <c r="B125" s="181">
        <f t="shared" si="16"/>
        <v>108</v>
      </c>
      <c r="C125" s="162">
        <f t="shared" si="17"/>
        <v>48578</v>
      </c>
      <c r="D125" s="6">
        <f>IFERROR((PPMT(Input!$E$55/12,B125,$C$6,Input!$E$54,-Input!$E$65,0))," ")</f>
        <v>-4867.7337556830953</v>
      </c>
      <c r="E125" s="6">
        <f>IFERROR(((IPMT(Input!$E$55/12,B125,$C$6,Input!$E$54,-Input!$E$65,0)))," ")</f>
        <v>-5449.8012464870062</v>
      </c>
      <c r="F125" s="6">
        <f t="shared" si="19"/>
        <v>-415820.18906760879</v>
      </c>
      <c r="G125" s="6">
        <f t="shared" si="18"/>
        <v>-698473.59116676229</v>
      </c>
      <c r="H125" s="6">
        <f t="shared" si="14"/>
        <v>-10317.535002170102</v>
      </c>
      <c r="I125" s="6">
        <f t="shared" si="15"/>
        <v>1184179.8109323913</v>
      </c>
      <c r="J125" s="6" t="str">
        <f>IF(B125&lt;&gt;"",IF(AND(Input!$H$54="Annual",MOD(B125,12)=0),Input!$J$54,IF(AND(Input!$H$54="1st Installment",B125=1),Input!$J$54,IF(Input!$H$54="Monthly",Input!$J$54,""))),"")</f>
        <v/>
      </c>
      <c r="K125" s="6">
        <f>IF(B125&lt;&gt;"",IF(AND(Input!$H$55="Annual",MOD(B125,12)=0),Input!$J$55,IF(AND(Input!$H$55="1st Installment",B125=1),Input!$J$55,IF(Input!$H$55="Monthly",Input!$J$55,""))),"")</f>
        <v>0</v>
      </c>
      <c r="L125" s="6">
        <f>IF(B125&lt;&gt;"",IF(AND(Input!$H$56="Annual",MOD(B125,12)=0),Input!$J$56,IF(AND(Input!$H$56="1st Installment",B125=1),Input!$J$56,IF(Input!$H$56="Monthly",Input!$J$56,""))),"")</f>
        <v>208.33333333333334</v>
      </c>
      <c r="M125" s="6" t="str">
        <f>IF(B125&lt;&gt;"",IF(AND(Input!$H$57="Annual",MOD(B125,12)=0),Input!$J$57,IF(AND(Input!$H$57="1st Installment",B125=1),Input!$J$57,IF(Input!$H$57="Monthly",Input!$J$57,""))),"")</f>
        <v/>
      </c>
      <c r="N125" s="6">
        <f>IF(B125&lt;&gt;"",IF(AND(Input!$H$58="Annual",MOD(B125,12)=0),Input!$J$58,IF(AND(Input!$H$58="1st Installment",B125=1),Input!$J$58,IF(Input!$H$58="Monthly",Input!$J$58,IF(AND(Input!$H$58="End of the loan",B125=Input!$E$58),Input!$J$58,"")))),"")</f>
        <v>0</v>
      </c>
      <c r="O125" s="6">
        <f t="shared" si="10"/>
        <v>208.33333333333334</v>
      </c>
      <c r="P125" s="4">
        <f t="shared" si="11"/>
        <v>10525.868335503435</v>
      </c>
      <c r="T125" s="9">
        <f t="shared" si="12"/>
        <v>48578</v>
      </c>
      <c r="U125" s="5">
        <f t="shared" si="13"/>
        <v>10525.87</v>
      </c>
    </row>
    <row r="126" spans="2:21" x14ac:dyDescent="0.2">
      <c r="B126" s="181">
        <f t="shared" si="16"/>
        <v>109</v>
      </c>
      <c r="C126" s="162">
        <f t="shared" si="17"/>
        <v>48609</v>
      </c>
      <c r="D126" s="6">
        <f>IFERROR((PPMT(Input!$E$55/12,B126,$C$6,Input!$E$54,-Input!$E$65,0))," ")</f>
        <v>-4890.0442020633091</v>
      </c>
      <c r="E126" s="6">
        <f>IFERROR(((IPMT(Input!$E$55/12,B126,$C$6,Input!$E$54,-Input!$E$65,0)))," ")</f>
        <v>-5427.4908001067915</v>
      </c>
      <c r="F126" s="6">
        <f t="shared" si="19"/>
        <v>-420710.23326967208</v>
      </c>
      <c r="G126" s="6">
        <f t="shared" si="18"/>
        <v>-703901.08196686907</v>
      </c>
      <c r="H126" s="6">
        <f t="shared" si="14"/>
        <v>-10317.535002170102</v>
      </c>
      <c r="I126" s="6">
        <f t="shared" si="15"/>
        <v>1179289.7667303279</v>
      </c>
      <c r="J126" s="6" t="str">
        <f>IF(B126&lt;&gt;"",IF(AND(Input!$H$54="Annual",MOD(B126,12)=0),Input!$J$54,IF(AND(Input!$H$54="1st Installment",B126=1),Input!$J$54,IF(Input!$H$54="Monthly",Input!$J$54,""))),"")</f>
        <v/>
      </c>
      <c r="K126" s="6" t="str">
        <f>IF(B126&lt;&gt;"",IF(AND(Input!$H$55="Annual",MOD(B126,12)=0),Input!$J$55,IF(AND(Input!$H$55="1st Installment",B126=1),Input!$J$55,IF(Input!$H$55="Monthly",Input!$J$55,""))),"")</f>
        <v/>
      </c>
      <c r="L126" s="6">
        <f>IF(B126&lt;&gt;"",IF(AND(Input!$H$56="Annual",MOD(B126,12)=0),Input!$J$56,IF(AND(Input!$H$56="1st Installment",B126=1),Input!$J$56,IF(Input!$H$56="Monthly",Input!$J$56,""))),"")</f>
        <v>208.33333333333334</v>
      </c>
      <c r="M126" s="6" t="str">
        <f>IF(B126&lt;&gt;"",IF(AND(Input!$H$57="Annual",MOD(B126,12)=0),Input!$J$57,IF(AND(Input!$H$57="1st Installment",B126=1),Input!$J$57,IF(Input!$H$57="Monthly",Input!$J$57,""))),"")</f>
        <v/>
      </c>
      <c r="N126" s="6" t="str">
        <f>IF(B126&lt;&gt;"",IF(AND(Input!$H$58="Annual",MOD(B126,12)=0),Input!$J$58,IF(AND(Input!$H$58="1st Installment",B126=1),Input!$J$58,IF(Input!$H$58="Monthly",Input!$J$58,IF(AND(Input!$H$58="End of the loan",B126=Input!$E$58),Input!$J$58,"")))),"")</f>
        <v/>
      </c>
      <c r="O126" s="6">
        <f t="shared" si="10"/>
        <v>208.33333333333334</v>
      </c>
      <c r="P126" s="4">
        <f t="shared" si="11"/>
        <v>10525.868335503435</v>
      </c>
      <c r="T126" s="9">
        <f t="shared" si="12"/>
        <v>48609</v>
      </c>
      <c r="U126" s="5">
        <f t="shared" si="13"/>
        <v>10525.87</v>
      </c>
    </row>
    <row r="127" spans="2:21" x14ac:dyDescent="0.2">
      <c r="B127" s="181">
        <f t="shared" si="16"/>
        <v>110</v>
      </c>
      <c r="C127" s="162">
        <f t="shared" si="17"/>
        <v>48638</v>
      </c>
      <c r="D127" s="6">
        <f>IFERROR((PPMT(Input!$E$55/12,B127,$C$6,Input!$E$54,-Input!$E$65,0))," ")</f>
        <v>-4912.4569046561001</v>
      </c>
      <c r="E127" s="6">
        <f>IFERROR(((IPMT(Input!$E$55/12,B127,$C$6,Input!$E$54,-Input!$E$65,0)))," ")</f>
        <v>-5405.0780975140015</v>
      </c>
      <c r="F127" s="6">
        <f t="shared" si="19"/>
        <v>-425622.69017432816</v>
      </c>
      <c r="G127" s="6">
        <f t="shared" si="18"/>
        <v>-709306.16006438306</v>
      </c>
      <c r="H127" s="6">
        <f t="shared" si="14"/>
        <v>-10317.535002170102</v>
      </c>
      <c r="I127" s="6">
        <f t="shared" si="15"/>
        <v>1174377.3098256718</v>
      </c>
      <c r="J127" s="6" t="str">
        <f>IF(B127&lt;&gt;"",IF(AND(Input!$H$54="Annual",MOD(B127,12)=0),Input!$J$54,IF(AND(Input!$H$54="1st Installment",B127=1),Input!$J$54,IF(Input!$H$54="Monthly",Input!$J$54,""))),"")</f>
        <v/>
      </c>
      <c r="K127" s="6" t="str">
        <f>IF(B127&lt;&gt;"",IF(AND(Input!$H$55="Annual",MOD(B127,12)=0),Input!$J$55,IF(AND(Input!$H$55="1st Installment",B127=1),Input!$J$55,IF(Input!$H$55="Monthly",Input!$J$55,""))),"")</f>
        <v/>
      </c>
      <c r="L127" s="6">
        <f>IF(B127&lt;&gt;"",IF(AND(Input!$H$56="Annual",MOD(B127,12)=0),Input!$J$56,IF(AND(Input!$H$56="1st Installment",B127=1),Input!$J$56,IF(Input!$H$56="Monthly",Input!$J$56,""))),"")</f>
        <v>208.33333333333334</v>
      </c>
      <c r="M127" s="6" t="str">
        <f>IF(B127&lt;&gt;"",IF(AND(Input!$H$57="Annual",MOD(B127,12)=0),Input!$J$57,IF(AND(Input!$H$57="1st Installment",B127=1),Input!$J$57,IF(Input!$H$57="Monthly",Input!$J$57,""))),"")</f>
        <v/>
      </c>
      <c r="N127" s="6" t="str">
        <f>IF(B127&lt;&gt;"",IF(AND(Input!$H$58="Annual",MOD(B127,12)=0),Input!$J$58,IF(AND(Input!$H$58="1st Installment",B127=1),Input!$J$58,IF(Input!$H$58="Monthly",Input!$J$58,IF(AND(Input!$H$58="End of the loan",B127=Input!$E$58),Input!$J$58,"")))),"")</f>
        <v/>
      </c>
      <c r="O127" s="6">
        <f t="shared" si="10"/>
        <v>208.33333333333334</v>
      </c>
      <c r="P127" s="4">
        <f t="shared" si="11"/>
        <v>10525.868335503435</v>
      </c>
      <c r="T127" s="9">
        <f t="shared" si="12"/>
        <v>48638</v>
      </c>
      <c r="U127" s="5">
        <f t="shared" si="13"/>
        <v>10525.87</v>
      </c>
    </row>
    <row r="128" spans="2:21" x14ac:dyDescent="0.2">
      <c r="B128" s="181">
        <f t="shared" si="16"/>
        <v>111</v>
      </c>
      <c r="C128" s="162">
        <f t="shared" si="17"/>
        <v>48668</v>
      </c>
      <c r="D128" s="6">
        <f>IFERROR((PPMT(Input!$E$55/12,B128,$C$6,Input!$E$54,-Input!$E$65,0))," ")</f>
        <v>-4934.9723321357733</v>
      </c>
      <c r="E128" s="6">
        <f>IFERROR(((IPMT(Input!$E$55/12,B128,$C$6,Input!$E$54,-Input!$E$65,0)))," ")</f>
        <v>-5382.5626700343291</v>
      </c>
      <c r="F128" s="6">
        <f t="shared" si="19"/>
        <v>-430557.66250646394</v>
      </c>
      <c r="G128" s="6">
        <f t="shared" si="18"/>
        <v>-714688.72273441742</v>
      </c>
      <c r="H128" s="6">
        <f t="shared" si="14"/>
        <v>-10317.535002170102</v>
      </c>
      <c r="I128" s="6">
        <f t="shared" si="15"/>
        <v>1169442.3374935361</v>
      </c>
      <c r="J128" s="6" t="str">
        <f>IF(B128&lt;&gt;"",IF(AND(Input!$H$54="Annual",MOD(B128,12)=0),Input!$J$54,IF(AND(Input!$H$54="1st Installment",B128=1),Input!$J$54,IF(Input!$H$54="Monthly",Input!$J$54,""))),"")</f>
        <v/>
      </c>
      <c r="K128" s="6" t="str">
        <f>IF(B128&lt;&gt;"",IF(AND(Input!$H$55="Annual",MOD(B128,12)=0),Input!$J$55,IF(AND(Input!$H$55="1st Installment",B128=1),Input!$J$55,IF(Input!$H$55="Monthly",Input!$J$55,""))),"")</f>
        <v/>
      </c>
      <c r="L128" s="6">
        <f>IF(B128&lt;&gt;"",IF(AND(Input!$H$56="Annual",MOD(B128,12)=0),Input!$J$56,IF(AND(Input!$H$56="1st Installment",B128=1),Input!$J$56,IF(Input!$H$56="Monthly",Input!$J$56,""))),"")</f>
        <v>208.33333333333334</v>
      </c>
      <c r="M128" s="6" t="str">
        <f>IF(B128&lt;&gt;"",IF(AND(Input!$H$57="Annual",MOD(B128,12)=0),Input!$J$57,IF(AND(Input!$H$57="1st Installment",B128=1),Input!$J$57,IF(Input!$H$57="Monthly",Input!$J$57,""))),"")</f>
        <v/>
      </c>
      <c r="N128" s="6" t="str">
        <f>IF(B128&lt;&gt;"",IF(AND(Input!$H$58="Annual",MOD(B128,12)=0),Input!$J$58,IF(AND(Input!$H$58="1st Installment",B128=1),Input!$J$58,IF(Input!$H$58="Monthly",Input!$J$58,IF(AND(Input!$H$58="End of the loan",B128=Input!$E$58),Input!$J$58,"")))),"")</f>
        <v/>
      </c>
      <c r="O128" s="6">
        <f t="shared" si="10"/>
        <v>208.33333333333334</v>
      </c>
      <c r="P128" s="4">
        <f t="shared" si="11"/>
        <v>10525.868335503435</v>
      </c>
      <c r="T128" s="9">
        <f t="shared" si="12"/>
        <v>48668</v>
      </c>
      <c r="U128" s="5">
        <f t="shared" si="13"/>
        <v>10525.87</v>
      </c>
    </row>
    <row r="129" spans="2:21" x14ac:dyDescent="0.2">
      <c r="B129" s="181">
        <f t="shared" si="16"/>
        <v>112</v>
      </c>
      <c r="C129" s="162">
        <f t="shared" si="17"/>
        <v>48699</v>
      </c>
      <c r="D129" s="6">
        <f>IFERROR((PPMT(Input!$E$55/12,B129,$C$6,Input!$E$54,-Input!$E$65,0))," ")</f>
        <v>-4957.5909553247293</v>
      </c>
      <c r="E129" s="6">
        <f>IFERROR(((IPMT(Input!$E$55/12,B129,$C$6,Input!$E$54,-Input!$E$65,0)))," ")</f>
        <v>-5359.944046845374</v>
      </c>
      <c r="F129" s="6">
        <f t="shared" si="19"/>
        <v>-435515.25346178864</v>
      </c>
      <c r="G129" s="6">
        <f t="shared" si="18"/>
        <v>-720048.66678126284</v>
      </c>
      <c r="H129" s="6">
        <f t="shared" si="14"/>
        <v>-10317.535002170103</v>
      </c>
      <c r="I129" s="6">
        <f t="shared" si="15"/>
        <v>1164484.7465382114</v>
      </c>
      <c r="J129" s="6" t="str">
        <f>IF(B129&lt;&gt;"",IF(AND(Input!$H$54="Annual",MOD(B129,12)=0),Input!$J$54,IF(AND(Input!$H$54="1st Installment",B129=1),Input!$J$54,IF(Input!$H$54="Monthly",Input!$J$54,""))),"")</f>
        <v/>
      </c>
      <c r="K129" s="6" t="str">
        <f>IF(B129&lt;&gt;"",IF(AND(Input!$H$55="Annual",MOD(B129,12)=0),Input!$J$55,IF(AND(Input!$H$55="1st Installment",B129=1),Input!$J$55,IF(Input!$H$55="Monthly",Input!$J$55,""))),"")</f>
        <v/>
      </c>
      <c r="L129" s="6">
        <f>IF(B129&lt;&gt;"",IF(AND(Input!$H$56="Annual",MOD(B129,12)=0),Input!$J$56,IF(AND(Input!$H$56="1st Installment",B129=1),Input!$J$56,IF(Input!$H$56="Monthly",Input!$J$56,""))),"")</f>
        <v>208.33333333333334</v>
      </c>
      <c r="M129" s="6" t="str">
        <f>IF(B129&lt;&gt;"",IF(AND(Input!$H$57="Annual",MOD(B129,12)=0),Input!$J$57,IF(AND(Input!$H$57="1st Installment",B129=1),Input!$J$57,IF(Input!$H$57="Monthly",Input!$J$57,""))),"")</f>
        <v/>
      </c>
      <c r="N129" s="6" t="str">
        <f>IF(B129&lt;&gt;"",IF(AND(Input!$H$58="Annual",MOD(B129,12)=0),Input!$J$58,IF(AND(Input!$H$58="1st Installment",B129=1),Input!$J$58,IF(Input!$H$58="Monthly",Input!$J$58,IF(AND(Input!$H$58="End of the loan",B129=Input!$E$58),Input!$J$58,"")))),"")</f>
        <v/>
      </c>
      <c r="O129" s="6">
        <f t="shared" si="10"/>
        <v>208.33333333333334</v>
      </c>
      <c r="P129" s="4">
        <f t="shared" si="11"/>
        <v>10525.868335503437</v>
      </c>
      <c r="T129" s="9">
        <f t="shared" si="12"/>
        <v>48699</v>
      </c>
      <c r="U129" s="5">
        <f t="shared" si="13"/>
        <v>10525.87</v>
      </c>
    </row>
    <row r="130" spans="2:21" x14ac:dyDescent="0.2">
      <c r="B130" s="181">
        <f t="shared" si="16"/>
        <v>113</v>
      </c>
      <c r="C130" s="162">
        <f t="shared" si="17"/>
        <v>48729</v>
      </c>
      <c r="D130" s="6">
        <f>IFERROR((PPMT(Input!$E$55/12,B130,$C$6,Input!$E$54,-Input!$E$65,0))," ")</f>
        <v>-4980.3132472032994</v>
      </c>
      <c r="E130" s="6">
        <f>IFERROR(((IPMT(Input!$E$55/12,B130,$C$6,Input!$E$54,-Input!$E$65,0)))," ")</f>
        <v>-5337.2217549668012</v>
      </c>
      <c r="F130" s="6">
        <f t="shared" si="19"/>
        <v>-440495.56670899194</v>
      </c>
      <c r="G130" s="6">
        <f t="shared" si="18"/>
        <v>-725385.88853622961</v>
      </c>
      <c r="H130" s="6">
        <f t="shared" si="14"/>
        <v>-10317.535002170102</v>
      </c>
      <c r="I130" s="6">
        <f t="shared" si="15"/>
        <v>1159504.433291008</v>
      </c>
      <c r="J130" s="6" t="str">
        <f>IF(B130&lt;&gt;"",IF(AND(Input!$H$54="Annual",MOD(B130,12)=0),Input!$J$54,IF(AND(Input!$H$54="1st Installment",B130=1),Input!$J$54,IF(Input!$H$54="Monthly",Input!$J$54,""))),"")</f>
        <v/>
      </c>
      <c r="K130" s="6" t="str">
        <f>IF(B130&lt;&gt;"",IF(AND(Input!$H$55="Annual",MOD(B130,12)=0),Input!$J$55,IF(AND(Input!$H$55="1st Installment",B130=1),Input!$J$55,IF(Input!$H$55="Monthly",Input!$J$55,""))),"")</f>
        <v/>
      </c>
      <c r="L130" s="6">
        <f>IF(B130&lt;&gt;"",IF(AND(Input!$H$56="Annual",MOD(B130,12)=0),Input!$J$56,IF(AND(Input!$H$56="1st Installment",B130=1),Input!$J$56,IF(Input!$H$56="Monthly",Input!$J$56,""))),"")</f>
        <v>208.33333333333334</v>
      </c>
      <c r="M130" s="6" t="str">
        <f>IF(B130&lt;&gt;"",IF(AND(Input!$H$57="Annual",MOD(B130,12)=0),Input!$J$57,IF(AND(Input!$H$57="1st Installment",B130=1),Input!$J$57,IF(Input!$H$57="Monthly",Input!$J$57,""))),"")</f>
        <v/>
      </c>
      <c r="N130" s="6" t="str">
        <f>IF(B130&lt;&gt;"",IF(AND(Input!$H$58="Annual",MOD(B130,12)=0),Input!$J$58,IF(AND(Input!$H$58="1st Installment",B130=1),Input!$J$58,IF(Input!$H$58="Monthly",Input!$J$58,IF(AND(Input!$H$58="End of the loan",B130=Input!$E$58),Input!$J$58,"")))),"")</f>
        <v/>
      </c>
      <c r="O130" s="6">
        <f t="shared" si="10"/>
        <v>208.33333333333334</v>
      </c>
      <c r="P130" s="4">
        <f t="shared" si="11"/>
        <v>10525.868335503435</v>
      </c>
      <c r="T130" s="9">
        <f t="shared" si="12"/>
        <v>48729</v>
      </c>
      <c r="U130" s="5">
        <f t="shared" si="13"/>
        <v>10525.87</v>
      </c>
    </row>
    <row r="131" spans="2:21" x14ac:dyDescent="0.2">
      <c r="B131" s="181">
        <f t="shared" si="16"/>
        <v>114</v>
      </c>
      <c r="C131" s="162">
        <f t="shared" si="17"/>
        <v>48760</v>
      </c>
      <c r="D131" s="6">
        <f>IFERROR((PPMT(Input!$E$55/12,B131,$C$6,Input!$E$54,-Input!$E$65,0))," ")</f>
        <v>-5003.1396829196483</v>
      </c>
      <c r="E131" s="6">
        <f>IFERROR(((IPMT(Input!$E$55/12,B131,$C$6,Input!$E$54,-Input!$E$65,0)))," ")</f>
        <v>-5314.3953192504523</v>
      </c>
      <c r="F131" s="6">
        <f t="shared" si="19"/>
        <v>-445498.7063919116</v>
      </c>
      <c r="G131" s="6">
        <f t="shared" si="18"/>
        <v>-730700.28385548003</v>
      </c>
      <c r="H131" s="6">
        <f t="shared" si="14"/>
        <v>-10317.535002170102</v>
      </c>
      <c r="I131" s="6">
        <f t="shared" si="15"/>
        <v>1154501.2936080885</v>
      </c>
      <c r="J131" s="6" t="str">
        <f>IF(B131&lt;&gt;"",IF(AND(Input!$H$54="Annual",MOD(B131,12)=0),Input!$J$54,IF(AND(Input!$H$54="1st Installment",B131=1),Input!$J$54,IF(Input!$H$54="Monthly",Input!$J$54,""))),"")</f>
        <v/>
      </c>
      <c r="K131" s="6" t="str">
        <f>IF(B131&lt;&gt;"",IF(AND(Input!$H$55="Annual",MOD(B131,12)=0),Input!$J$55,IF(AND(Input!$H$55="1st Installment",B131=1),Input!$J$55,IF(Input!$H$55="Monthly",Input!$J$55,""))),"")</f>
        <v/>
      </c>
      <c r="L131" s="6">
        <f>IF(B131&lt;&gt;"",IF(AND(Input!$H$56="Annual",MOD(B131,12)=0),Input!$J$56,IF(AND(Input!$H$56="1st Installment",B131=1),Input!$J$56,IF(Input!$H$56="Monthly",Input!$J$56,""))),"")</f>
        <v>208.33333333333334</v>
      </c>
      <c r="M131" s="6" t="str">
        <f>IF(B131&lt;&gt;"",IF(AND(Input!$H$57="Annual",MOD(B131,12)=0),Input!$J$57,IF(AND(Input!$H$57="1st Installment",B131=1),Input!$J$57,IF(Input!$H$57="Monthly",Input!$J$57,""))),"")</f>
        <v/>
      </c>
      <c r="N131" s="6" t="str">
        <f>IF(B131&lt;&gt;"",IF(AND(Input!$H$58="Annual",MOD(B131,12)=0),Input!$J$58,IF(AND(Input!$H$58="1st Installment",B131=1),Input!$J$58,IF(Input!$H$58="Monthly",Input!$J$58,IF(AND(Input!$H$58="End of the loan",B131=Input!$E$58),Input!$J$58,"")))),"")</f>
        <v/>
      </c>
      <c r="O131" s="6">
        <f t="shared" si="10"/>
        <v>208.33333333333334</v>
      </c>
      <c r="P131" s="4">
        <f t="shared" si="11"/>
        <v>10525.868335503435</v>
      </c>
      <c r="T131" s="9">
        <f t="shared" si="12"/>
        <v>48760</v>
      </c>
      <c r="U131" s="5">
        <f t="shared" si="13"/>
        <v>10525.87</v>
      </c>
    </row>
    <row r="132" spans="2:21" x14ac:dyDescent="0.2">
      <c r="B132" s="181">
        <f t="shared" si="16"/>
        <v>115</v>
      </c>
      <c r="C132" s="162">
        <f t="shared" si="17"/>
        <v>48790</v>
      </c>
      <c r="D132" s="6">
        <f>IFERROR((PPMT(Input!$E$55/12,B132,$C$6,Input!$E$54,-Input!$E$65,0))," ")</f>
        <v>-5026.0707397996966</v>
      </c>
      <c r="E132" s="6">
        <f>IFERROR(((IPMT(Input!$E$55/12,B132,$C$6,Input!$E$54,-Input!$E$65,0)))," ")</f>
        <v>-5291.4642623704049</v>
      </c>
      <c r="F132" s="6">
        <f t="shared" si="19"/>
        <v>-450524.77713171131</v>
      </c>
      <c r="G132" s="6">
        <f t="shared" si="18"/>
        <v>-735991.74811785039</v>
      </c>
      <c r="H132" s="6">
        <f t="shared" si="14"/>
        <v>-10317.535002170102</v>
      </c>
      <c r="I132" s="6">
        <f t="shared" si="15"/>
        <v>1149475.2228682886</v>
      </c>
      <c r="J132" s="6" t="str">
        <f>IF(B132&lt;&gt;"",IF(AND(Input!$H$54="Annual",MOD(B132,12)=0),Input!$J$54,IF(AND(Input!$H$54="1st Installment",B132=1),Input!$J$54,IF(Input!$H$54="Monthly",Input!$J$54,""))),"")</f>
        <v/>
      </c>
      <c r="K132" s="6" t="str">
        <f>IF(B132&lt;&gt;"",IF(AND(Input!$H$55="Annual",MOD(B132,12)=0),Input!$J$55,IF(AND(Input!$H$55="1st Installment",B132=1),Input!$J$55,IF(Input!$H$55="Monthly",Input!$J$55,""))),"")</f>
        <v/>
      </c>
      <c r="L132" s="6">
        <f>IF(B132&lt;&gt;"",IF(AND(Input!$H$56="Annual",MOD(B132,12)=0),Input!$J$56,IF(AND(Input!$H$56="1st Installment",B132=1),Input!$J$56,IF(Input!$H$56="Monthly",Input!$J$56,""))),"")</f>
        <v>208.33333333333334</v>
      </c>
      <c r="M132" s="6" t="str">
        <f>IF(B132&lt;&gt;"",IF(AND(Input!$H$57="Annual",MOD(B132,12)=0),Input!$J$57,IF(AND(Input!$H$57="1st Installment",B132=1),Input!$J$57,IF(Input!$H$57="Monthly",Input!$J$57,""))),"")</f>
        <v/>
      </c>
      <c r="N132" s="6" t="str">
        <f>IF(B132&lt;&gt;"",IF(AND(Input!$H$58="Annual",MOD(B132,12)=0),Input!$J$58,IF(AND(Input!$H$58="1st Installment",B132=1),Input!$J$58,IF(Input!$H$58="Monthly",Input!$J$58,IF(AND(Input!$H$58="End of the loan",B132=Input!$E$58),Input!$J$58,"")))),"")</f>
        <v/>
      </c>
      <c r="O132" s="6">
        <f t="shared" si="10"/>
        <v>208.33333333333334</v>
      </c>
      <c r="P132" s="4">
        <f t="shared" si="11"/>
        <v>10525.868335503435</v>
      </c>
      <c r="T132" s="9">
        <f t="shared" si="12"/>
        <v>48790</v>
      </c>
      <c r="U132" s="5">
        <f t="shared" si="13"/>
        <v>10525.87</v>
      </c>
    </row>
    <row r="133" spans="2:21" x14ac:dyDescent="0.2">
      <c r="B133" s="181">
        <f t="shared" si="16"/>
        <v>116</v>
      </c>
      <c r="C133" s="162">
        <f t="shared" si="17"/>
        <v>48821</v>
      </c>
      <c r="D133" s="6">
        <f>IFERROR((PPMT(Input!$E$55/12,B133,$C$6,Input!$E$54,-Input!$E$65,0))," ")</f>
        <v>-5049.1068973571118</v>
      </c>
      <c r="E133" s="6">
        <f>IFERROR(((IPMT(Input!$E$55/12,B133,$C$6,Input!$E$54,-Input!$E$65,0)))," ")</f>
        <v>-5268.4281048129897</v>
      </c>
      <c r="F133" s="6">
        <f t="shared" si="19"/>
        <v>-455573.8840290684</v>
      </c>
      <c r="G133" s="6">
        <f t="shared" si="18"/>
        <v>-741260.17622266337</v>
      </c>
      <c r="H133" s="6">
        <f t="shared" si="14"/>
        <v>-10317.535002170102</v>
      </c>
      <c r="I133" s="6">
        <f t="shared" si="15"/>
        <v>1144426.1159709315</v>
      </c>
      <c r="J133" s="6" t="str">
        <f>IF(B133&lt;&gt;"",IF(AND(Input!$H$54="Annual",MOD(B133,12)=0),Input!$J$54,IF(AND(Input!$H$54="1st Installment",B133=1),Input!$J$54,IF(Input!$H$54="Monthly",Input!$J$54,""))),"")</f>
        <v/>
      </c>
      <c r="K133" s="6" t="str">
        <f>IF(B133&lt;&gt;"",IF(AND(Input!$H$55="Annual",MOD(B133,12)=0),Input!$J$55,IF(AND(Input!$H$55="1st Installment",B133=1),Input!$J$55,IF(Input!$H$55="Monthly",Input!$J$55,""))),"")</f>
        <v/>
      </c>
      <c r="L133" s="6">
        <f>IF(B133&lt;&gt;"",IF(AND(Input!$H$56="Annual",MOD(B133,12)=0),Input!$J$56,IF(AND(Input!$H$56="1st Installment",B133=1),Input!$J$56,IF(Input!$H$56="Monthly",Input!$J$56,""))),"")</f>
        <v>208.33333333333334</v>
      </c>
      <c r="M133" s="6" t="str">
        <f>IF(B133&lt;&gt;"",IF(AND(Input!$H$57="Annual",MOD(B133,12)=0),Input!$J$57,IF(AND(Input!$H$57="1st Installment",B133=1),Input!$J$57,IF(Input!$H$57="Monthly",Input!$J$57,""))),"")</f>
        <v/>
      </c>
      <c r="N133" s="6" t="str">
        <f>IF(B133&lt;&gt;"",IF(AND(Input!$H$58="Annual",MOD(B133,12)=0),Input!$J$58,IF(AND(Input!$H$58="1st Installment",B133=1),Input!$J$58,IF(Input!$H$58="Monthly",Input!$J$58,IF(AND(Input!$H$58="End of the loan",B133=Input!$E$58),Input!$J$58,"")))),"")</f>
        <v/>
      </c>
      <c r="O133" s="6">
        <f t="shared" si="10"/>
        <v>208.33333333333334</v>
      </c>
      <c r="P133" s="4">
        <f t="shared" si="11"/>
        <v>10525.868335503435</v>
      </c>
      <c r="T133" s="9">
        <f t="shared" si="12"/>
        <v>48821</v>
      </c>
      <c r="U133" s="5">
        <f t="shared" si="13"/>
        <v>10525.87</v>
      </c>
    </row>
    <row r="134" spans="2:21" x14ac:dyDescent="0.2">
      <c r="B134" s="181">
        <f t="shared" si="16"/>
        <v>117</v>
      </c>
      <c r="C134" s="162">
        <f t="shared" si="17"/>
        <v>48852</v>
      </c>
      <c r="D134" s="6">
        <f>IFERROR((PPMT(Input!$E$55/12,B134,$C$6,Input!$E$54,-Input!$E$65,0))," ")</f>
        <v>-5072.2486373033325</v>
      </c>
      <c r="E134" s="6">
        <f>IFERROR(((IPMT(Input!$E$55/12,B134,$C$6,Input!$E$54,-Input!$E$65,0)))," ")</f>
        <v>-5245.286364866769</v>
      </c>
      <c r="F134" s="6">
        <f t="shared" si="19"/>
        <v>-460646.13266637176</v>
      </c>
      <c r="G134" s="6">
        <f t="shared" si="18"/>
        <v>-746505.46258753014</v>
      </c>
      <c r="H134" s="6">
        <f t="shared" si="14"/>
        <v>-10317.535002170102</v>
      </c>
      <c r="I134" s="6">
        <f t="shared" si="15"/>
        <v>1139353.8673336282</v>
      </c>
      <c r="J134" s="6" t="str">
        <f>IF(B134&lt;&gt;"",IF(AND(Input!$H$54="Annual",MOD(B134,12)=0),Input!$J$54,IF(AND(Input!$H$54="1st Installment",B134=1),Input!$J$54,IF(Input!$H$54="Monthly",Input!$J$54,""))),"")</f>
        <v/>
      </c>
      <c r="K134" s="6" t="str">
        <f>IF(B134&lt;&gt;"",IF(AND(Input!$H$55="Annual",MOD(B134,12)=0),Input!$J$55,IF(AND(Input!$H$55="1st Installment",B134=1),Input!$J$55,IF(Input!$H$55="Monthly",Input!$J$55,""))),"")</f>
        <v/>
      </c>
      <c r="L134" s="6">
        <f>IF(B134&lt;&gt;"",IF(AND(Input!$H$56="Annual",MOD(B134,12)=0),Input!$J$56,IF(AND(Input!$H$56="1st Installment",B134=1),Input!$J$56,IF(Input!$H$56="Monthly",Input!$J$56,""))),"")</f>
        <v>208.33333333333334</v>
      </c>
      <c r="M134" s="6" t="str">
        <f>IF(B134&lt;&gt;"",IF(AND(Input!$H$57="Annual",MOD(B134,12)=0),Input!$J$57,IF(AND(Input!$H$57="1st Installment",B134=1),Input!$J$57,IF(Input!$H$57="Monthly",Input!$J$57,""))),"")</f>
        <v/>
      </c>
      <c r="N134" s="6" t="str">
        <f>IF(B134&lt;&gt;"",IF(AND(Input!$H$58="Annual",MOD(B134,12)=0),Input!$J$58,IF(AND(Input!$H$58="1st Installment",B134=1),Input!$J$58,IF(Input!$H$58="Monthly",Input!$J$58,IF(AND(Input!$H$58="End of the loan",B134=Input!$E$58),Input!$J$58,"")))),"")</f>
        <v/>
      </c>
      <c r="O134" s="6">
        <f t="shared" si="10"/>
        <v>208.33333333333334</v>
      </c>
      <c r="P134" s="4">
        <f t="shared" si="11"/>
        <v>10525.868335503435</v>
      </c>
      <c r="T134" s="9">
        <f t="shared" si="12"/>
        <v>48852</v>
      </c>
      <c r="U134" s="5">
        <f t="shared" si="13"/>
        <v>10525.87</v>
      </c>
    </row>
    <row r="135" spans="2:21" x14ac:dyDescent="0.2">
      <c r="B135" s="181">
        <f t="shared" si="16"/>
        <v>118</v>
      </c>
      <c r="C135" s="162">
        <f t="shared" si="17"/>
        <v>48882</v>
      </c>
      <c r="D135" s="6">
        <f>IFERROR((PPMT(Input!$E$55/12,B135,$C$6,Input!$E$54,-Input!$E$65,0))," ")</f>
        <v>-5095.4964435576385</v>
      </c>
      <c r="E135" s="6">
        <f>IFERROR(((IPMT(Input!$E$55/12,B135,$C$6,Input!$E$54,-Input!$E$65,0)))," ")</f>
        <v>-5222.038558612463</v>
      </c>
      <c r="F135" s="6">
        <f t="shared" si="19"/>
        <v>-465741.62910992937</v>
      </c>
      <c r="G135" s="6">
        <f t="shared" si="18"/>
        <v>-751727.5011461426</v>
      </c>
      <c r="H135" s="6">
        <f t="shared" si="14"/>
        <v>-10317.535002170102</v>
      </c>
      <c r="I135" s="6">
        <f t="shared" si="15"/>
        <v>1134258.3708900707</v>
      </c>
      <c r="J135" s="6" t="str">
        <f>IF(B135&lt;&gt;"",IF(AND(Input!$H$54="Annual",MOD(B135,12)=0),Input!$J$54,IF(AND(Input!$H$54="1st Installment",B135=1),Input!$J$54,IF(Input!$H$54="Monthly",Input!$J$54,""))),"")</f>
        <v/>
      </c>
      <c r="K135" s="6" t="str">
        <f>IF(B135&lt;&gt;"",IF(AND(Input!$H$55="Annual",MOD(B135,12)=0),Input!$J$55,IF(AND(Input!$H$55="1st Installment",B135=1),Input!$J$55,IF(Input!$H$55="Monthly",Input!$J$55,""))),"")</f>
        <v/>
      </c>
      <c r="L135" s="6">
        <f>IF(B135&lt;&gt;"",IF(AND(Input!$H$56="Annual",MOD(B135,12)=0),Input!$J$56,IF(AND(Input!$H$56="1st Installment",B135=1),Input!$J$56,IF(Input!$H$56="Monthly",Input!$J$56,""))),"")</f>
        <v>208.33333333333334</v>
      </c>
      <c r="M135" s="6" t="str">
        <f>IF(B135&lt;&gt;"",IF(AND(Input!$H$57="Annual",MOD(B135,12)=0),Input!$J$57,IF(AND(Input!$H$57="1st Installment",B135=1),Input!$J$57,IF(Input!$H$57="Monthly",Input!$J$57,""))),"")</f>
        <v/>
      </c>
      <c r="N135" s="6" t="str">
        <f>IF(B135&lt;&gt;"",IF(AND(Input!$H$58="Annual",MOD(B135,12)=0),Input!$J$58,IF(AND(Input!$H$58="1st Installment",B135=1),Input!$J$58,IF(Input!$H$58="Monthly",Input!$J$58,IF(AND(Input!$H$58="End of the loan",B135=Input!$E$58),Input!$J$58,"")))),"")</f>
        <v/>
      </c>
      <c r="O135" s="6">
        <f t="shared" si="10"/>
        <v>208.33333333333334</v>
      </c>
      <c r="P135" s="4">
        <f t="shared" si="11"/>
        <v>10525.868335503435</v>
      </c>
      <c r="T135" s="9">
        <f t="shared" si="12"/>
        <v>48882</v>
      </c>
      <c r="U135" s="5">
        <f t="shared" si="13"/>
        <v>10525.87</v>
      </c>
    </row>
    <row r="136" spans="2:21" x14ac:dyDescent="0.2">
      <c r="B136" s="181">
        <f t="shared" si="16"/>
        <v>119</v>
      </c>
      <c r="C136" s="162">
        <f t="shared" si="17"/>
        <v>48913</v>
      </c>
      <c r="D136" s="6">
        <f>IFERROR((PPMT(Input!$E$55/12,B136,$C$6,Input!$E$54,-Input!$E$65,0))," ")</f>
        <v>-5118.8508022572787</v>
      </c>
      <c r="E136" s="6">
        <f>IFERROR(((IPMT(Input!$E$55/12,B136,$C$6,Input!$E$54,-Input!$E$65,0)))," ")</f>
        <v>-5198.6841999128228</v>
      </c>
      <c r="F136" s="6">
        <f t="shared" si="19"/>
        <v>-470860.47991218662</v>
      </c>
      <c r="G136" s="6">
        <f t="shared" si="18"/>
        <v>-756926.18534605543</v>
      </c>
      <c r="H136" s="6">
        <f t="shared" si="14"/>
        <v>-10317.535002170102</v>
      </c>
      <c r="I136" s="6">
        <f t="shared" si="15"/>
        <v>1129139.5200878135</v>
      </c>
      <c r="J136" s="6" t="str">
        <f>IF(B136&lt;&gt;"",IF(AND(Input!$H$54="Annual",MOD(B136,12)=0),Input!$J$54,IF(AND(Input!$H$54="1st Installment",B136=1),Input!$J$54,IF(Input!$H$54="Monthly",Input!$J$54,""))),"")</f>
        <v/>
      </c>
      <c r="K136" s="6" t="str">
        <f>IF(B136&lt;&gt;"",IF(AND(Input!$H$55="Annual",MOD(B136,12)=0),Input!$J$55,IF(AND(Input!$H$55="1st Installment",B136=1),Input!$J$55,IF(Input!$H$55="Monthly",Input!$J$55,""))),"")</f>
        <v/>
      </c>
      <c r="L136" s="6">
        <f>IF(B136&lt;&gt;"",IF(AND(Input!$H$56="Annual",MOD(B136,12)=0),Input!$J$56,IF(AND(Input!$H$56="1st Installment",B136=1),Input!$J$56,IF(Input!$H$56="Monthly",Input!$J$56,""))),"")</f>
        <v>208.33333333333334</v>
      </c>
      <c r="M136" s="6" t="str">
        <f>IF(B136&lt;&gt;"",IF(AND(Input!$H$57="Annual",MOD(B136,12)=0),Input!$J$57,IF(AND(Input!$H$57="1st Installment",B136=1),Input!$J$57,IF(Input!$H$57="Monthly",Input!$J$57,""))),"")</f>
        <v/>
      </c>
      <c r="N136" s="6" t="str">
        <f>IF(B136&lt;&gt;"",IF(AND(Input!$H$58="Annual",MOD(B136,12)=0),Input!$J$58,IF(AND(Input!$H$58="1st Installment",B136=1),Input!$J$58,IF(Input!$H$58="Monthly",Input!$J$58,IF(AND(Input!$H$58="End of the loan",B136=Input!$E$58),Input!$J$58,"")))),"")</f>
        <v/>
      </c>
      <c r="O136" s="6">
        <f t="shared" si="10"/>
        <v>208.33333333333334</v>
      </c>
      <c r="P136" s="4">
        <f t="shared" si="11"/>
        <v>10525.868335503435</v>
      </c>
      <c r="T136" s="9">
        <f t="shared" si="12"/>
        <v>48913</v>
      </c>
      <c r="U136" s="5">
        <f t="shared" si="13"/>
        <v>10525.87</v>
      </c>
    </row>
    <row r="137" spans="2:21" x14ac:dyDescent="0.2">
      <c r="B137" s="181">
        <f t="shared" si="16"/>
        <v>120</v>
      </c>
      <c r="C137" s="162">
        <f t="shared" si="17"/>
        <v>48943</v>
      </c>
      <c r="D137" s="6">
        <f>IFERROR((PPMT(Input!$E$55/12,B137,$C$6,Input!$E$54,-Input!$E$65,0))," ")</f>
        <v>-5142.3122017676242</v>
      </c>
      <c r="E137" s="6">
        <f>IFERROR(((IPMT(Input!$E$55/12,B137,$C$6,Input!$E$54,-Input!$E$65,0)))," ")</f>
        <v>-5175.2228004024773</v>
      </c>
      <c r="F137" s="6">
        <f t="shared" si="19"/>
        <v>-476002.79211395426</v>
      </c>
      <c r="G137" s="6">
        <f t="shared" si="18"/>
        <v>-762101.40814645786</v>
      </c>
      <c r="H137" s="6">
        <f t="shared" si="14"/>
        <v>-10317.535002170102</v>
      </c>
      <c r="I137" s="6">
        <f t="shared" si="15"/>
        <v>1123997.2078860458</v>
      </c>
      <c r="J137" s="6" t="str">
        <f>IF(B137&lt;&gt;"",IF(AND(Input!$H$54="Annual",MOD(B137,12)=0),Input!$J$54,IF(AND(Input!$H$54="1st Installment",B137=1),Input!$J$54,IF(Input!$H$54="Monthly",Input!$J$54,""))),"")</f>
        <v/>
      </c>
      <c r="K137" s="6">
        <f>IF(B137&lt;&gt;"",IF(AND(Input!$H$55="Annual",MOD(B137,12)=0),Input!$J$55,IF(AND(Input!$H$55="1st Installment",B137=1),Input!$J$55,IF(Input!$H$55="Monthly",Input!$J$55,""))),"")</f>
        <v>0</v>
      </c>
      <c r="L137" s="6">
        <f>IF(B137&lt;&gt;"",IF(AND(Input!$H$56="Annual",MOD(B137,12)=0),Input!$J$56,IF(AND(Input!$H$56="1st Installment",B137=1),Input!$J$56,IF(Input!$H$56="Monthly",Input!$J$56,""))),"")</f>
        <v>208.33333333333334</v>
      </c>
      <c r="M137" s="6" t="str">
        <f>IF(B137&lt;&gt;"",IF(AND(Input!$H$57="Annual",MOD(B137,12)=0),Input!$J$57,IF(AND(Input!$H$57="1st Installment",B137=1),Input!$J$57,IF(Input!$H$57="Monthly",Input!$J$57,""))),"")</f>
        <v/>
      </c>
      <c r="N137" s="6">
        <f>IF(B137&lt;&gt;"",IF(AND(Input!$H$58="Annual",MOD(B137,12)=0),Input!$J$58,IF(AND(Input!$H$58="1st Installment",B137=1),Input!$J$58,IF(Input!$H$58="Monthly",Input!$J$58,IF(AND(Input!$H$58="End of the loan",B137=Input!$E$58),Input!$J$58,"")))),"")</f>
        <v>0</v>
      </c>
      <c r="O137" s="6">
        <f t="shared" si="10"/>
        <v>208.33333333333334</v>
      </c>
      <c r="P137" s="4">
        <f t="shared" si="11"/>
        <v>10525.868335503435</v>
      </c>
      <c r="T137" s="9">
        <f t="shared" si="12"/>
        <v>48943</v>
      </c>
      <c r="U137" s="5">
        <f t="shared" si="13"/>
        <v>10525.87</v>
      </c>
    </row>
    <row r="138" spans="2:21" x14ac:dyDescent="0.2">
      <c r="B138" s="181">
        <f t="shared" si="16"/>
        <v>121</v>
      </c>
      <c r="C138" s="162">
        <f t="shared" si="17"/>
        <v>48974</v>
      </c>
      <c r="D138" s="6">
        <f>IFERROR((PPMT(Input!$E$55/12,B138,$C$6,Input!$E$54,-Input!$E$65,0))," ")</f>
        <v>-5165.8811326923924</v>
      </c>
      <c r="E138" s="6">
        <f>IFERROR(((IPMT(Input!$E$55/12,B138,$C$6,Input!$E$54,-Input!$E$65,0)))," ")</f>
        <v>-5151.65386947771</v>
      </c>
      <c r="F138" s="6">
        <f t="shared" si="19"/>
        <v>-481168.67324664665</v>
      </c>
      <c r="G138" s="6">
        <f t="shared" si="18"/>
        <v>-767253.06201593555</v>
      </c>
      <c r="H138" s="6">
        <f t="shared" si="14"/>
        <v>-10317.535002170102</v>
      </c>
      <c r="I138" s="6">
        <f t="shared" si="15"/>
        <v>1118831.3267533532</v>
      </c>
      <c r="J138" s="6" t="str">
        <f>IF(B138&lt;&gt;"",IF(AND(Input!$H$54="Annual",MOD(B138,12)=0),Input!$J$54,IF(AND(Input!$H$54="1st Installment",B138=1),Input!$J$54,IF(Input!$H$54="Monthly",Input!$J$54,""))),"")</f>
        <v/>
      </c>
      <c r="K138" s="6" t="str">
        <f>IF(B138&lt;&gt;"",IF(AND(Input!$H$55="Annual",MOD(B138,12)=0),Input!$J$55,IF(AND(Input!$H$55="1st Installment",B138=1),Input!$J$55,IF(Input!$H$55="Monthly",Input!$J$55,""))),"")</f>
        <v/>
      </c>
      <c r="L138" s="6">
        <f>IF(B138&lt;&gt;"",IF(AND(Input!$H$56="Annual",MOD(B138,12)=0),Input!$J$56,IF(AND(Input!$H$56="1st Installment",B138=1),Input!$J$56,IF(Input!$H$56="Monthly",Input!$J$56,""))),"")</f>
        <v>208.33333333333334</v>
      </c>
      <c r="M138" s="6" t="str">
        <f>IF(B138&lt;&gt;"",IF(AND(Input!$H$57="Annual",MOD(B138,12)=0),Input!$J$57,IF(AND(Input!$H$57="1st Installment",B138=1),Input!$J$57,IF(Input!$H$57="Monthly",Input!$J$57,""))),"")</f>
        <v/>
      </c>
      <c r="N138" s="6" t="str">
        <f>IF(B138&lt;&gt;"",IF(AND(Input!$H$58="Annual",MOD(B138,12)=0),Input!$J$58,IF(AND(Input!$H$58="1st Installment",B138=1),Input!$J$58,IF(Input!$H$58="Monthly",Input!$J$58,IF(AND(Input!$H$58="End of the loan",B138=Input!$E$58),Input!$J$58,"")))),"")</f>
        <v/>
      </c>
      <c r="O138" s="6">
        <f t="shared" si="10"/>
        <v>208.33333333333334</v>
      </c>
      <c r="P138" s="4">
        <f t="shared" si="11"/>
        <v>10525.868335503435</v>
      </c>
      <c r="T138" s="9">
        <f t="shared" si="12"/>
        <v>48974</v>
      </c>
      <c r="U138" s="5">
        <f t="shared" si="13"/>
        <v>10525.87</v>
      </c>
    </row>
    <row r="139" spans="2:21" x14ac:dyDescent="0.2">
      <c r="B139" s="181">
        <f t="shared" si="16"/>
        <v>122</v>
      </c>
      <c r="C139" s="162">
        <f t="shared" si="17"/>
        <v>49003</v>
      </c>
      <c r="D139" s="6">
        <f>IFERROR((PPMT(Input!$E$55/12,B139,$C$6,Input!$E$54,-Input!$E$65,0))," ")</f>
        <v>-5189.5580878838991</v>
      </c>
      <c r="E139" s="6">
        <f>IFERROR(((IPMT(Input!$E$55/12,B139,$C$6,Input!$E$54,-Input!$E$65,0)))," ")</f>
        <v>-5127.9769142862024</v>
      </c>
      <c r="F139" s="6">
        <f t="shared" si="19"/>
        <v>-486358.23133453057</v>
      </c>
      <c r="G139" s="6">
        <f t="shared" si="18"/>
        <v>-772381.03893022169</v>
      </c>
      <c r="H139" s="6">
        <f t="shared" si="14"/>
        <v>-10317.535002170102</v>
      </c>
      <c r="I139" s="6">
        <f t="shared" si="15"/>
        <v>1113641.7686654695</v>
      </c>
      <c r="J139" s="6" t="str">
        <f>IF(B139&lt;&gt;"",IF(AND(Input!$H$54="Annual",MOD(B139,12)=0),Input!$J$54,IF(AND(Input!$H$54="1st Installment",B139=1),Input!$J$54,IF(Input!$H$54="Monthly",Input!$J$54,""))),"")</f>
        <v/>
      </c>
      <c r="K139" s="6" t="str">
        <f>IF(B139&lt;&gt;"",IF(AND(Input!$H$55="Annual",MOD(B139,12)=0),Input!$J$55,IF(AND(Input!$H$55="1st Installment",B139=1),Input!$J$55,IF(Input!$H$55="Monthly",Input!$J$55,""))),"")</f>
        <v/>
      </c>
      <c r="L139" s="6">
        <f>IF(B139&lt;&gt;"",IF(AND(Input!$H$56="Annual",MOD(B139,12)=0),Input!$J$56,IF(AND(Input!$H$56="1st Installment",B139=1),Input!$J$56,IF(Input!$H$56="Monthly",Input!$J$56,""))),"")</f>
        <v>208.33333333333334</v>
      </c>
      <c r="M139" s="6" t="str">
        <f>IF(B139&lt;&gt;"",IF(AND(Input!$H$57="Annual",MOD(B139,12)=0),Input!$J$57,IF(AND(Input!$H$57="1st Installment",B139=1),Input!$J$57,IF(Input!$H$57="Monthly",Input!$J$57,""))),"")</f>
        <v/>
      </c>
      <c r="N139" s="6" t="str">
        <f>IF(B139&lt;&gt;"",IF(AND(Input!$H$58="Annual",MOD(B139,12)=0),Input!$J$58,IF(AND(Input!$H$58="1st Installment",B139=1),Input!$J$58,IF(Input!$H$58="Monthly",Input!$J$58,IF(AND(Input!$H$58="End of the loan",B139=Input!$E$58),Input!$J$58,"")))),"")</f>
        <v/>
      </c>
      <c r="O139" s="6">
        <f t="shared" si="10"/>
        <v>208.33333333333334</v>
      </c>
      <c r="P139" s="4">
        <f t="shared" si="11"/>
        <v>10525.868335503435</v>
      </c>
      <c r="T139" s="9">
        <f t="shared" si="12"/>
        <v>49003</v>
      </c>
      <c r="U139" s="5">
        <f t="shared" si="13"/>
        <v>10525.87</v>
      </c>
    </row>
    <row r="140" spans="2:21" x14ac:dyDescent="0.2">
      <c r="B140" s="181">
        <f t="shared" si="16"/>
        <v>123</v>
      </c>
      <c r="C140" s="162">
        <f t="shared" si="17"/>
        <v>49033</v>
      </c>
      <c r="D140" s="6">
        <f>IFERROR((PPMT(Input!$E$55/12,B140,$C$6,Input!$E$54,-Input!$E$65,0))," ")</f>
        <v>-5213.3435624533677</v>
      </c>
      <c r="E140" s="6">
        <f>IFERROR(((IPMT(Input!$E$55/12,B140,$C$6,Input!$E$54,-Input!$E$65,0)))," ")</f>
        <v>-5104.1914397167347</v>
      </c>
      <c r="F140" s="6">
        <f t="shared" si="19"/>
        <v>-491571.57489698392</v>
      </c>
      <c r="G140" s="6">
        <f t="shared" si="18"/>
        <v>-777485.23036993842</v>
      </c>
      <c r="H140" s="6">
        <f t="shared" si="14"/>
        <v>-10317.535002170102</v>
      </c>
      <c r="I140" s="6">
        <f t="shared" si="15"/>
        <v>1108428.4251030162</v>
      </c>
      <c r="J140" s="6" t="str">
        <f>IF(B140&lt;&gt;"",IF(AND(Input!$H$54="Annual",MOD(B140,12)=0),Input!$J$54,IF(AND(Input!$H$54="1st Installment",B140=1),Input!$J$54,IF(Input!$H$54="Monthly",Input!$J$54,""))),"")</f>
        <v/>
      </c>
      <c r="K140" s="6" t="str">
        <f>IF(B140&lt;&gt;"",IF(AND(Input!$H$55="Annual",MOD(B140,12)=0),Input!$J$55,IF(AND(Input!$H$55="1st Installment",B140=1),Input!$J$55,IF(Input!$H$55="Monthly",Input!$J$55,""))),"")</f>
        <v/>
      </c>
      <c r="L140" s="6">
        <f>IF(B140&lt;&gt;"",IF(AND(Input!$H$56="Annual",MOD(B140,12)=0),Input!$J$56,IF(AND(Input!$H$56="1st Installment",B140=1),Input!$J$56,IF(Input!$H$56="Monthly",Input!$J$56,""))),"")</f>
        <v>208.33333333333334</v>
      </c>
      <c r="M140" s="6" t="str">
        <f>IF(B140&lt;&gt;"",IF(AND(Input!$H$57="Annual",MOD(B140,12)=0),Input!$J$57,IF(AND(Input!$H$57="1st Installment",B140=1),Input!$J$57,IF(Input!$H$57="Monthly",Input!$J$57,""))),"")</f>
        <v/>
      </c>
      <c r="N140" s="6" t="str">
        <f>IF(B140&lt;&gt;"",IF(AND(Input!$H$58="Annual",MOD(B140,12)=0),Input!$J$58,IF(AND(Input!$H$58="1st Installment",B140=1),Input!$J$58,IF(Input!$H$58="Monthly",Input!$J$58,IF(AND(Input!$H$58="End of the loan",B140=Input!$E$58),Input!$J$58,"")))),"")</f>
        <v/>
      </c>
      <c r="O140" s="6">
        <f t="shared" si="10"/>
        <v>208.33333333333334</v>
      </c>
      <c r="P140" s="4">
        <f t="shared" si="11"/>
        <v>10525.868335503435</v>
      </c>
      <c r="T140" s="9">
        <f t="shared" si="12"/>
        <v>49033</v>
      </c>
      <c r="U140" s="5">
        <f t="shared" si="13"/>
        <v>10525.87</v>
      </c>
    </row>
    <row r="141" spans="2:21" x14ac:dyDescent="0.2">
      <c r="B141" s="181">
        <f t="shared" si="16"/>
        <v>124</v>
      </c>
      <c r="C141" s="162">
        <f t="shared" si="17"/>
        <v>49064</v>
      </c>
      <c r="D141" s="6">
        <f>IFERROR((PPMT(Input!$E$55/12,B141,$C$6,Input!$E$54,-Input!$E$65,0))," ")</f>
        <v>-5237.2380537812778</v>
      </c>
      <c r="E141" s="6">
        <f>IFERROR(((IPMT(Input!$E$55/12,B141,$C$6,Input!$E$54,-Input!$E$65,0)))," ")</f>
        <v>-5080.2969483888219</v>
      </c>
      <c r="F141" s="6">
        <f t="shared" si="19"/>
        <v>-496808.81295076519</v>
      </c>
      <c r="G141" s="6">
        <f t="shared" si="18"/>
        <v>-782565.52731832722</v>
      </c>
      <c r="H141" s="6">
        <f t="shared" si="14"/>
        <v>-10317.5350021701</v>
      </c>
      <c r="I141" s="6">
        <f t="shared" si="15"/>
        <v>1103191.1870492348</v>
      </c>
      <c r="J141" s="6" t="str">
        <f>IF(B141&lt;&gt;"",IF(AND(Input!$H$54="Annual",MOD(B141,12)=0),Input!$J$54,IF(AND(Input!$H$54="1st Installment",B141=1),Input!$J$54,IF(Input!$H$54="Monthly",Input!$J$54,""))),"")</f>
        <v/>
      </c>
      <c r="K141" s="6" t="str">
        <f>IF(B141&lt;&gt;"",IF(AND(Input!$H$55="Annual",MOD(B141,12)=0),Input!$J$55,IF(AND(Input!$H$55="1st Installment",B141=1),Input!$J$55,IF(Input!$H$55="Monthly",Input!$J$55,""))),"")</f>
        <v/>
      </c>
      <c r="L141" s="6">
        <f>IF(B141&lt;&gt;"",IF(AND(Input!$H$56="Annual",MOD(B141,12)=0),Input!$J$56,IF(AND(Input!$H$56="1st Installment",B141=1),Input!$J$56,IF(Input!$H$56="Monthly",Input!$J$56,""))),"")</f>
        <v>208.33333333333334</v>
      </c>
      <c r="M141" s="6" t="str">
        <f>IF(B141&lt;&gt;"",IF(AND(Input!$H$57="Annual",MOD(B141,12)=0),Input!$J$57,IF(AND(Input!$H$57="1st Installment",B141=1),Input!$J$57,IF(Input!$H$57="Monthly",Input!$J$57,""))),"")</f>
        <v/>
      </c>
      <c r="N141" s="6" t="str">
        <f>IF(B141&lt;&gt;"",IF(AND(Input!$H$58="Annual",MOD(B141,12)=0),Input!$J$58,IF(AND(Input!$H$58="1st Installment",B141=1),Input!$J$58,IF(Input!$H$58="Monthly",Input!$J$58,IF(AND(Input!$H$58="End of the loan",B141=Input!$E$58),Input!$J$58,"")))),"")</f>
        <v/>
      </c>
      <c r="O141" s="6">
        <f t="shared" si="10"/>
        <v>208.33333333333334</v>
      </c>
      <c r="P141" s="4">
        <f t="shared" si="11"/>
        <v>10525.868335503434</v>
      </c>
      <c r="T141" s="9">
        <f t="shared" si="12"/>
        <v>49064</v>
      </c>
      <c r="U141" s="5">
        <f t="shared" si="13"/>
        <v>10525.87</v>
      </c>
    </row>
    <row r="142" spans="2:21" x14ac:dyDescent="0.2">
      <c r="B142" s="181">
        <f t="shared" si="16"/>
        <v>125</v>
      </c>
      <c r="C142" s="162">
        <f t="shared" si="17"/>
        <v>49094</v>
      </c>
      <c r="D142" s="6">
        <f>IFERROR((PPMT(Input!$E$55/12,B142,$C$6,Input!$E$54,-Input!$E$65,0))," ")</f>
        <v>-5261.242061527777</v>
      </c>
      <c r="E142" s="6">
        <f>IFERROR(((IPMT(Input!$E$55/12,B142,$C$6,Input!$E$54,-Input!$E$65,0)))," ")</f>
        <v>-5056.2929406423245</v>
      </c>
      <c r="F142" s="6">
        <f t="shared" si="19"/>
        <v>-502070.05501229299</v>
      </c>
      <c r="G142" s="6">
        <f t="shared" si="18"/>
        <v>-787621.82025896956</v>
      </c>
      <c r="H142" s="6">
        <f t="shared" si="14"/>
        <v>-10317.535002170102</v>
      </c>
      <c r="I142" s="6">
        <f t="shared" si="15"/>
        <v>1097929.9449877071</v>
      </c>
      <c r="J142" s="6" t="str">
        <f>IF(B142&lt;&gt;"",IF(AND(Input!$H$54="Annual",MOD(B142,12)=0),Input!$J$54,IF(AND(Input!$H$54="1st Installment",B142=1),Input!$J$54,IF(Input!$H$54="Monthly",Input!$J$54,""))),"")</f>
        <v/>
      </c>
      <c r="K142" s="6" t="str">
        <f>IF(B142&lt;&gt;"",IF(AND(Input!$H$55="Annual",MOD(B142,12)=0),Input!$J$55,IF(AND(Input!$H$55="1st Installment",B142=1),Input!$J$55,IF(Input!$H$55="Monthly",Input!$J$55,""))),"")</f>
        <v/>
      </c>
      <c r="L142" s="6">
        <f>IF(B142&lt;&gt;"",IF(AND(Input!$H$56="Annual",MOD(B142,12)=0),Input!$J$56,IF(AND(Input!$H$56="1st Installment",B142=1),Input!$J$56,IF(Input!$H$56="Monthly",Input!$J$56,""))),"")</f>
        <v>208.33333333333334</v>
      </c>
      <c r="M142" s="6" t="str">
        <f>IF(B142&lt;&gt;"",IF(AND(Input!$H$57="Annual",MOD(B142,12)=0),Input!$J$57,IF(AND(Input!$H$57="1st Installment",B142=1),Input!$J$57,IF(Input!$H$57="Monthly",Input!$J$57,""))),"")</f>
        <v/>
      </c>
      <c r="N142" s="6" t="str">
        <f>IF(B142&lt;&gt;"",IF(AND(Input!$H$58="Annual",MOD(B142,12)=0),Input!$J$58,IF(AND(Input!$H$58="1st Installment",B142=1),Input!$J$58,IF(Input!$H$58="Monthly",Input!$J$58,IF(AND(Input!$H$58="End of the loan",B142=Input!$E$58),Input!$J$58,"")))),"")</f>
        <v/>
      </c>
      <c r="O142" s="6">
        <f t="shared" si="10"/>
        <v>208.33333333333334</v>
      </c>
      <c r="P142" s="4">
        <f t="shared" si="11"/>
        <v>10525.868335503435</v>
      </c>
      <c r="T142" s="9">
        <f t="shared" si="12"/>
        <v>49094</v>
      </c>
      <c r="U142" s="5">
        <f t="shared" si="13"/>
        <v>10525.87</v>
      </c>
    </row>
    <row r="143" spans="2:21" x14ac:dyDescent="0.2">
      <c r="B143" s="181">
        <f t="shared" si="16"/>
        <v>126</v>
      </c>
      <c r="C143" s="162">
        <f t="shared" si="17"/>
        <v>49125</v>
      </c>
      <c r="D143" s="6">
        <f>IFERROR((PPMT(Input!$E$55/12,B143,$C$6,Input!$E$54,-Input!$E$65,0))," ")</f>
        <v>-5285.356087643112</v>
      </c>
      <c r="E143" s="6">
        <f>IFERROR(((IPMT(Input!$E$55/12,B143,$C$6,Input!$E$54,-Input!$E$65,0)))," ")</f>
        <v>-5032.1789145269895</v>
      </c>
      <c r="F143" s="6">
        <f t="shared" si="19"/>
        <v>-507355.41109993611</v>
      </c>
      <c r="G143" s="6">
        <f t="shared" si="18"/>
        <v>-792653.9991734965</v>
      </c>
      <c r="H143" s="6">
        <f t="shared" si="14"/>
        <v>-10317.535002170102</v>
      </c>
      <c r="I143" s="6">
        <f t="shared" si="15"/>
        <v>1092644.5889000639</v>
      </c>
      <c r="J143" s="6" t="str">
        <f>IF(B143&lt;&gt;"",IF(AND(Input!$H$54="Annual",MOD(B143,12)=0),Input!$J$54,IF(AND(Input!$H$54="1st Installment",B143=1),Input!$J$54,IF(Input!$H$54="Monthly",Input!$J$54,""))),"")</f>
        <v/>
      </c>
      <c r="K143" s="6" t="str">
        <f>IF(B143&lt;&gt;"",IF(AND(Input!$H$55="Annual",MOD(B143,12)=0),Input!$J$55,IF(AND(Input!$H$55="1st Installment",B143=1),Input!$J$55,IF(Input!$H$55="Monthly",Input!$J$55,""))),"")</f>
        <v/>
      </c>
      <c r="L143" s="6">
        <f>IF(B143&lt;&gt;"",IF(AND(Input!$H$56="Annual",MOD(B143,12)=0),Input!$J$56,IF(AND(Input!$H$56="1st Installment",B143=1),Input!$J$56,IF(Input!$H$56="Monthly",Input!$J$56,""))),"")</f>
        <v>208.33333333333334</v>
      </c>
      <c r="M143" s="6" t="str">
        <f>IF(B143&lt;&gt;"",IF(AND(Input!$H$57="Annual",MOD(B143,12)=0),Input!$J$57,IF(AND(Input!$H$57="1st Installment",B143=1),Input!$J$57,IF(Input!$H$57="Monthly",Input!$J$57,""))),"")</f>
        <v/>
      </c>
      <c r="N143" s="6" t="str">
        <f>IF(B143&lt;&gt;"",IF(AND(Input!$H$58="Annual",MOD(B143,12)=0),Input!$J$58,IF(AND(Input!$H$58="1st Installment",B143=1),Input!$J$58,IF(Input!$H$58="Monthly",Input!$J$58,IF(AND(Input!$H$58="End of the loan",B143=Input!$E$58),Input!$J$58,"")))),"")</f>
        <v/>
      </c>
      <c r="O143" s="6">
        <f t="shared" si="10"/>
        <v>208.33333333333334</v>
      </c>
      <c r="P143" s="4">
        <f t="shared" si="11"/>
        <v>10525.868335503435</v>
      </c>
      <c r="T143" s="9">
        <f t="shared" si="12"/>
        <v>49125</v>
      </c>
      <c r="U143" s="5">
        <f t="shared" si="13"/>
        <v>10525.87</v>
      </c>
    </row>
    <row r="144" spans="2:21" x14ac:dyDescent="0.2">
      <c r="B144" s="181">
        <f t="shared" si="16"/>
        <v>127</v>
      </c>
      <c r="C144" s="162">
        <f t="shared" si="17"/>
        <v>49155</v>
      </c>
      <c r="D144" s="6">
        <f>IFERROR((PPMT(Input!$E$55/12,B144,$C$6,Input!$E$54,-Input!$E$65,0))," ")</f>
        <v>-5309.580636378143</v>
      </c>
      <c r="E144" s="6">
        <f>IFERROR(((IPMT(Input!$E$55/12,B144,$C$6,Input!$E$54,-Input!$E$65,0)))," ")</f>
        <v>-5007.9543657919585</v>
      </c>
      <c r="F144" s="6">
        <f t="shared" si="19"/>
        <v>-512664.99173631426</v>
      </c>
      <c r="G144" s="6">
        <f t="shared" si="18"/>
        <v>-797661.95353928849</v>
      </c>
      <c r="H144" s="6">
        <f t="shared" si="14"/>
        <v>-10317.535002170102</v>
      </c>
      <c r="I144" s="6">
        <f t="shared" si="15"/>
        <v>1087335.0082636857</v>
      </c>
      <c r="J144" s="6" t="str">
        <f>IF(B144&lt;&gt;"",IF(AND(Input!$H$54="Annual",MOD(B144,12)=0),Input!$J$54,IF(AND(Input!$H$54="1st Installment",B144=1),Input!$J$54,IF(Input!$H$54="Monthly",Input!$J$54,""))),"")</f>
        <v/>
      </c>
      <c r="K144" s="6" t="str">
        <f>IF(B144&lt;&gt;"",IF(AND(Input!$H$55="Annual",MOD(B144,12)=0),Input!$J$55,IF(AND(Input!$H$55="1st Installment",B144=1),Input!$J$55,IF(Input!$H$55="Monthly",Input!$J$55,""))),"")</f>
        <v/>
      </c>
      <c r="L144" s="6">
        <f>IF(B144&lt;&gt;"",IF(AND(Input!$H$56="Annual",MOD(B144,12)=0),Input!$J$56,IF(AND(Input!$H$56="1st Installment",B144=1),Input!$J$56,IF(Input!$H$56="Monthly",Input!$J$56,""))),"")</f>
        <v>208.33333333333334</v>
      </c>
      <c r="M144" s="6" t="str">
        <f>IF(B144&lt;&gt;"",IF(AND(Input!$H$57="Annual",MOD(B144,12)=0),Input!$J$57,IF(AND(Input!$H$57="1st Installment",B144=1),Input!$J$57,IF(Input!$H$57="Monthly",Input!$J$57,""))),"")</f>
        <v/>
      </c>
      <c r="N144" s="6" t="str">
        <f>IF(B144&lt;&gt;"",IF(AND(Input!$H$58="Annual",MOD(B144,12)=0),Input!$J$58,IF(AND(Input!$H$58="1st Installment",B144=1),Input!$J$58,IF(Input!$H$58="Monthly",Input!$J$58,IF(AND(Input!$H$58="End of the loan",B144=Input!$E$58),Input!$J$58,"")))),"")</f>
        <v/>
      </c>
      <c r="O144" s="6">
        <f t="shared" si="10"/>
        <v>208.33333333333334</v>
      </c>
      <c r="P144" s="4">
        <f t="shared" si="11"/>
        <v>10525.868335503435</v>
      </c>
      <c r="T144" s="9">
        <f t="shared" si="12"/>
        <v>49155</v>
      </c>
      <c r="U144" s="5">
        <f t="shared" si="13"/>
        <v>10525.87</v>
      </c>
    </row>
    <row r="145" spans="2:21" x14ac:dyDescent="0.2">
      <c r="B145" s="181">
        <f t="shared" si="16"/>
        <v>128</v>
      </c>
      <c r="C145" s="162">
        <f t="shared" si="17"/>
        <v>49186</v>
      </c>
      <c r="D145" s="6">
        <f>IFERROR((PPMT(Input!$E$55/12,B145,$C$6,Input!$E$54,-Input!$E$65,0))," ")</f>
        <v>-5333.9162142948762</v>
      </c>
      <c r="E145" s="6">
        <f>IFERROR(((IPMT(Input!$E$55/12,B145,$C$6,Input!$E$54,-Input!$E$65,0)))," ")</f>
        <v>-4983.6187878752262</v>
      </c>
      <c r="F145" s="6">
        <f t="shared" si="19"/>
        <v>-517998.90795060911</v>
      </c>
      <c r="G145" s="6">
        <f t="shared" si="18"/>
        <v>-802645.57232716377</v>
      </c>
      <c r="H145" s="6">
        <f t="shared" si="14"/>
        <v>-10317.535002170102</v>
      </c>
      <c r="I145" s="6">
        <f t="shared" si="15"/>
        <v>1082001.092049391</v>
      </c>
      <c r="J145" s="6" t="str">
        <f>IF(B145&lt;&gt;"",IF(AND(Input!$H$54="Annual",MOD(B145,12)=0),Input!$J$54,IF(AND(Input!$H$54="1st Installment",B145=1),Input!$J$54,IF(Input!$H$54="Monthly",Input!$J$54,""))),"")</f>
        <v/>
      </c>
      <c r="K145" s="6" t="str">
        <f>IF(B145&lt;&gt;"",IF(AND(Input!$H$55="Annual",MOD(B145,12)=0),Input!$J$55,IF(AND(Input!$H$55="1st Installment",B145=1),Input!$J$55,IF(Input!$H$55="Monthly",Input!$J$55,""))),"")</f>
        <v/>
      </c>
      <c r="L145" s="6">
        <f>IF(B145&lt;&gt;"",IF(AND(Input!$H$56="Annual",MOD(B145,12)=0),Input!$J$56,IF(AND(Input!$H$56="1st Installment",B145=1),Input!$J$56,IF(Input!$H$56="Monthly",Input!$J$56,""))),"")</f>
        <v>208.33333333333334</v>
      </c>
      <c r="M145" s="6" t="str">
        <f>IF(B145&lt;&gt;"",IF(AND(Input!$H$57="Annual",MOD(B145,12)=0),Input!$J$57,IF(AND(Input!$H$57="1st Installment",B145=1),Input!$J$57,IF(Input!$H$57="Monthly",Input!$J$57,""))),"")</f>
        <v/>
      </c>
      <c r="N145" s="6" t="str">
        <f>IF(B145&lt;&gt;"",IF(AND(Input!$H$58="Annual",MOD(B145,12)=0),Input!$J$58,IF(AND(Input!$H$58="1st Installment",B145=1),Input!$J$58,IF(Input!$H$58="Monthly",Input!$J$58,IF(AND(Input!$H$58="End of the loan",B145=Input!$E$58),Input!$J$58,"")))),"")</f>
        <v/>
      </c>
      <c r="O145" s="6">
        <f t="shared" ref="O145:O208" si="20">IF(B145&lt;&gt;"",SUM(J145:N145),"")</f>
        <v>208.33333333333334</v>
      </c>
      <c r="P145" s="4">
        <f t="shared" ref="P145:P208" si="21">IF(B145&lt;&gt;"",(-H145+O145),"")</f>
        <v>10525.868335503435</v>
      </c>
      <c r="T145" s="9">
        <f t="shared" si="12"/>
        <v>49186</v>
      </c>
      <c r="U145" s="5">
        <f t="shared" si="13"/>
        <v>10525.87</v>
      </c>
    </row>
    <row r="146" spans="2:21" x14ac:dyDescent="0.2">
      <c r="B146" s="181">
        <f t="shared" si="16"/>
        <v>129</v>
      </c>
      <c r="C146" s="162">
        <f t="shared" si="17"/>
        <v>49217</v>
      </c>
      <c r="D146" s="6">
        <f>IFERROR((PPMT(Input!$E$55/12,B146,$C$6,Input!$E$54,-Input!$E$65,0))," ")</f>
        <v>-5358.3633302770613</v>
      </c>
      <c r="E146" s="6">
        <f>IFERROR(((IPMT(Input!$E$55/12,B146,$C$6,Input!$E$54,-Input!$E$65,0)))," ")</f>
        <v>-4959.1716718930402</v>
      </c>
      <c r="F146" s="6">
        <f t="shared" si="19"/>
        <v>-523357.27128088614</v>
      </c>
      <c r="G146" s="6">
        <f t="shared" si="18"/>
        <v>-807604.74399905675</v>
      </c>
      <c r="H146" s="6">
        <f t="shared" si="14"/>
        <v>-10317.535002170102</v>
      </c>
      <c r="I146" s="6">
        <f t="shared" si="15"/>
        <v>1076642.7287191139</v>
      </c>
      <c r="J146" s="6" t="str">
        <f>IF(B146&lt;&gt;"",IF(AND(Input!$H$54="Annual",MOD(B146,12)=0),Input!$J$54,IF(AND(Input!$H$54="1st Installment",B146=1),Input!$J$54,IF(Input!$H$54="Monthly",Input!$J$54,""))),"")</f>
        <v/>
      </c>
      <c r="K146" s="6" t="str">
        <f>IF(B146&lt;&gt;"",IF(AND(Input!$H$55="Annual",MOD(B146,12)=0),Input!$J$55,IF(AND(Input!$H$55="1st Installment",B146=1),Input!$J$55,IF(Input!$H$55="Monthly",Input!$J$55,""))),"")</f>
        <v/>
      </c>
      <c r="L146" s="6">
        <f>IF(B146&lt;&gt;"",IF(AND(Input!$H$56="Annual",MOD(B146,12)=0),Input!$J$56,IF(AND(Input!$H$56="1st Installment",B146=1),Input!$J$56,IF(Input!$H$56="Monthly",Input!$J$56,""))),"")</f>
        <v>208.33333333333334</v>
      </c>
      <c r="M146" s="6" t="str">
        <f>IF(B146&lt;&gt;"",IF(AND(Input!$H$57="Annual",MOD(B146,12)=0),Input!$J$57,IF(AND(Input!$H$57="1st Installment",B146=1),Input!$J$57,IF(Input!$H$57="Monthly",Input!$J$57,""))),"")</f>
        <v/>
      </c>
      <c r="N146" s="6" t="str">
        <f>IF(B146&lt;&gt;"",IF(AND(Input!$H$58="Annual",MOD(B146,12)=0),Input!$J$58,IF(AND(Input!$H$58="1st Installment",B146=1),Input!$J$58,IF(Input!$H$58="Monthly",Input!$J$58,IF(AND(Input!$H$58="End of the loan",B146=Input!$E$58),Input!$J$58,"")))),"")</f>
        <v/>
      </c>
      <c r="O146" s="6">
        <f t="shared" si="20"/>
        <v>208.33333333333334</v>
      </c>
      <c r="P146" s="4">
        <f t="shared" si="21"/>
        <v>10525.868335503435</v>
      </c>
      <c r="T146" s="9">
        <f t="shared" ref="T146:T209" si="22">C146</f>
        <v>49217</v>
      </c>
      <c r="U146" s="5">
        <f t="shared" ref="U146:U209" si="23">IFERROR(ROUND(_xlfn.IFNA(VLOOKUP(T146,$C$18:$P$385,14,0),0),2)," ")</f>
        <v>10525.87</v>
      </c>
    </row>
    <row r="147" spans="2:21" x14ac:dyDescent="0.2">
      <c r="B147" s="181">
        <f t="shared" si="16"/>
        <v>130</v>
      </c>
      <c r="C147" s="162">
        <f t="shared" si="17"/>
        <v>49247</v>
      </c>
      <c r="D147" s="6">
        <f>IFERROR((PPMT(Input!$E$55/12,B147,$C$6,Input!$E$54,-Input!$E$65,0))," ")</f>
        <v>-5382.9224955408308</v>
      </c>
      <c r="E147" s="6">
        <f>IFERROR(((IPMT(Input!$E$55/12,B147,$C$6,Input!$E$54,-Input!$E$65,0)))," ")</f>
        <v>-4934.6125066292707</v>
      </c>
      <c r="F147" s="6">
        <f t="shared" si="19"/>
        <v>-528740.19377642695</v>
      </c>
      <c r="G147" s="6">
        <f t="shared" si="18"/>
        <v>-812539.35650568607</v>
      </c>
      <c r="H147" s="6">
        <f t="shared" ref="H147:H210" si="24">+IF(B147=$C$6,(-$C$13+IFERROR(D147+E147,"")),IFERROR(D147+E147,""))</f>
        <v>-10317.535002170102</v>
      </c>
      <c r="I147" s="6">
        <f t="shared" ref="I147:I210" si="25">+IFERROR($C$8+F147,"")</f>
        <v>1071259.8062235732</v>
      </c>
      <c r="J147" s="6" t="str">
        <f>IF(B147&lt;&gt;"",IF(AND(Input!$H$54="Annual",MOD(B147,12)=0),Input!$J$54,IF(AND(Input!$H$54="1st Installment",B147=1),Input!$J$54,IF(Input!$H$54="Monthly",Input!$J$54,""))),"")</f>
        <v/>
      </c>
      <c r="K147" s="6" t="str">
        <f>IF(B147&lt;&gt;"",IF(AND(Input!$H$55="Annual",MOD(B147,12)=0),Input!$J$55,IF(AND(Input!$H$55="1st Installment",B147=1),Input!$J$55,IF(Input!$H$55="Monthly",Input!$J$55,""))),"")</f>
        <v/>
      </c>
      <c r="L147" s="6">
        <f>IF(B147&lt;&gt;"",IF(AND(Input!$H$56="Annual",MOD(B147,12)=0),Input!$J$56,IF(AND(Input!$H$56="1st Installment",B147=1),Input!$J$56,IF(Input!$H$56="Monthly",Input!$J$56,""))),"")</f>
        <v>208.33333333333334</v>
      </c>
      <c r="M147" s="6" t="str">
        <f>IF(B147&lt;&gt;"",IF(AND(Input!$H$57="Annual",MOD(B147,12)=0),Input!$J$57,IF(AND(Input!$H$57="1st Installment",B147=1),Input!$J$57,IF(Input!$H$57="Monthly",Input!$J$57,""))),"")</f>
        <v/>
      </c>
      <c r="N147" s="6" t="str">
        <f>IF(B147&lt;&gt;"",IF(AND(Input!$H$58="Annual",MOD(B147,12)=0),Input!$J$58,IF(AND(Input!$H$58="1st Installment",B147=1),Input!$J$58,IF(Input!$H$58="Monthly",Input!$J$58,IF(AND(Input!$H$58="End of the loan",B147=Input!$E$58),Input!$J$58,"")))),"")</f>
        <v/>
      </c>
      <c r="O147" s="6">
        <f t="shared" si="20"/>
        <v>208.33333333333334</v>
      </c>
      <c r="P147" s="4">
        <f t="shared" si="21"/>
        <v>10525.868335503435</v>
      </c>
      <c r="T147" s="9">
        <f t="shared" si="22"/>
        <v>49247</v>
      </c>
      <c r="U147" s="5">
        <f t="shared" si="23"/>
        <v>10525.87</v>
      </c>
    </row>
    <row r="148" spans="2:21" x14ac:dyDescent="0.2">
      <c r="B148" s="181">
        <f t="shared" ref="B148:B211" si="26">IF(B147="","",IF((B147+1)&lt;=$C$6,B147+1,""))</f>
        <v>131</v>
      </c>
      <c r="C148" s="162">
        <f t="shared" ref="C148:C211" si="27">IF(B148="","",EDATE($C$18,(B148-1)))</f>
        <v>49278</v>
      </c>
      <c r="D148" s="6">
        <f>IFERROR((PPMT(Input!$E$55/12,B148,$C$6,Input!$E$54,-Input!$E$65,0))," ")</f>
        <v>-5407.594223645393</v>
      </c>
      <c r="E148" s="6">
        <f>IFERROR(((IPMT(Input!$E$55/12,B148,$C$6,Input!$E$54,-Input!$E$65,0)))," ")</f>
        <v>-4909.9407785247085</v>
      </c>
      <c r="F148" s="6">
        <f t="shared" si="19"/>
        <v>-534147.78800007235</v>
      </c>
      <c r="G148" s="6">
        <f t="shared" ref="G148:G211" si="28">IF(B148&lt;=$C$6,G147+E148,"")</f>
        <v>-817449.2972842108</v>
      </c>
      <c r="H148" s="6">
        <f t="shared" si="24"/>
        <v>-10317.535002170102</v>
      </c>
      <c r="I148" s="6">
        <f t="shared" si="25"/>
        <v>1065852.2119999276</v>
      </c>
      <c r="J148" s="6" t="str">
        <f>IF(B148&lt;&gt;"",IF(AND(Input!$H$54="Annual",MOD(B148,12)=0),Input!$J$54,IF(AND(Input!$H$54="1st Installment",B148=1),Input!$J$54,IF(Input!$H$54="Monthly",Input!$J$54,""))),"")</f>
        <v/>
      </c>
      <c r="K148" s="6" t="str">
        <f>IF(B148&lt;&gt;"",IF(AND(Input!$H$55="Annual",MOD(B148,12)=0),Input!$J$55,IF(AND(Input!$H$55="1st Installment",B148=1),Input!$J$55,IF(Input!$H$55="Monthly",Input!$J$55,""))),"")</f>
        <v/>
      </c>
      <c r="L148" s="6">
        <f>IF(B148&lt;&gt;"",IF(AND(Input!$H$56="Annual",MOD(B148,12)=0),Input!$J$56,IF(AND(Input!$H$56="1st Installment",B148=1),Input!$J$56,IF(Input!$H$56="Monthly",Input!$J$56,""))),"")</f>
        <v>208.33333333333334</v>
      </c>
      <c r="M148" s="6" t="str">
        <f>IF(B148&lt;&gt;"",IF(AND(Input!$H$57="Annual",MOD(B148,12)=0),Input!$J$57,IF(AND(Input!$H$57="1st Installment",B148=1),Input!$J$57,IF(Input!$H$57="Monthly",Input!$J$57,""))),"")</f>
        <v/>
      </c>
      <c r="N148" s="6" t="str">
        <f>IF(B148&lt;&gt;"",IF(AND(Input!$H$58="Annual",MOD(B148,12)=0),Input!$J$58,IF(AND(Input!$H$58="1st Installment",B148=1),Input!$J$58,IF(Input!$H$58="Monthly",Input!$J$58,IF(AND(Input!$H$58="End of the loan",B148=Input!$E$58),Input!$J$58,"")))),"")</f>
        <v/>
      </c>
      <c r="O148" s="6">
        <f t="shared" si="20"/>
        <v>208.33333333333334</v>
      </c>
      <c r="P148" s="4">
        <f t="shared" si="21"/>
        <v>10525.868335503435</v>
      </c>
      <c r="T148" s="9">
        <f t="shared" si="22"/>
        <v>49278</v>
      </c>
      <c r="U148" s="5">
        <f t="shared" si="23"/>
        <v>10525.87</v>
      </c>
    </row>
    <row r="149" spans="2:21" x14ac:dyDescent="0.2">
      <c r="B149" s="181">
        <f t="shared" si="26"/>
        <v>132</v>
      </c>
      <c r="C149" s="162">
        <f t="shared" si="27"/>
        <v>49308</v>
      </c>
      <c r="D149" s="6">
        <f>IFERROR((PPMT(Input!$E$55/12,B149,$C$6,Input!$E$54,-Input!$E$65,0))," ")</f>
        <v>-5432.3790305037674</v>
      </c>
      <c r="E149" s="6">
        <f>IFERROR(((IPMT(Input!$E$55/12,B149,$C$6,Input!$E$54,-Input!$E$65,0)))," ")</f>
        <v>-4885.1559716663342</v>
      </c>
      <c r="F149" s="6">
        <f t="shared" ref="F149:F212" si="29">IF(B149&lt;=$C$6,F148+D149,"")</f>
        <v>-539580.16703057615</v>
      </c>
      <c r="G149" s="6">
        <f t="shared" si="28"/>
        <v>-822334.45325587713</v>
      </c>
      <c r="H149" s="6">
        <f t="shared" si="24"/>
        <v>-10317.535002170102</v>
      </c>
      <c r="I149" s="6">
        <f t="shared" si="25"/>
        <v>1060419.8329694238</v>
      </c>
      <c r="J149" s="6" t="str">
        <f>IF(B149&lt;&gt;"",IF(AND(Input!$H$54="Annual",MOD(B149,12)=0),Input!$J$54,IF(AND(Input!$H$54="1st Installment",B149=1),Input!$J$54,IF(Input!$H$54="Monthly",Input!$J$54,""))),"")</f>
        <v/>
      </c>
      <c r="K149" s="6">
        <f>IF(B149&lt;&gt;"",IF(AND(Input!$H$55="Annual",MOD(B149,12)=0),Input!$J$55,IF(AND(Input!$H$55="1st Installment",B149=1),Input!$J$55,IF(Input!$H$55="Monthly",Input!$J$55,""))),"")</f>
        <v>0</v>
      </c>
      <c r="L149" s="6">
        <f>IF(B149&lt;&gt;"",IF(AND(Input!$H$56="Annual",MOD(B149,12)=0),Input!$J$56,IF(AND(Input!$H$56="1st Installment",B149=1),Input!$J$56,IF(Input!$H$56="Monthly",Input!$J$56,""))),"")</f>
        <v>208.33333333333334</v>
      </c>
      <c r="M149" s="6" t="str">
        <f>IF(B149&lt;&gt;"",IF(AND(Input!$H$57="Annual",MOD(B149,12)=0),Input!$J$57,IF(AND(Input!$H$57="1st Installment",B149=1),Input!$J$57,IF(Input!$H$57="Monthly",Input!$J$57,""))),"")</f>
        <v/>
      </c>
      <c r="N149" s="6">
        <f>IF(B149&lt;&gt;"",IF(AND(Input!$H$58="Annual",MOD(B149,12)=0),Input!$J$58,IF(AND(Input!$H$58="1st Installment",B149=1),Input!$J$58,IF(Input!$H$58="Monthly",Input!$J$58,IF(AND(Input!$H$58="End of the loan",B149=Input!$E$58),Input!$J$58,"")))),"")</f>
        <v>0</v>
      </c>
      <c r="O149" s="6">
        <f t="shared" si="20"/>
        <v>208.33333333333334</v>
      </c>
      <c r="P149" s="4">
        <f t="shared" si="21"/>
        <v>10525.868335503435</v>
      </c>
      <c r="T149" s="9">
        <f t="shared" si="22"/>
        <v>49308</v>
      </c>
      <c r="U149" s="5">
        <f t="shared" si="23"/>
        <v>10525.87</v>
      </c>
    </row>
    <row r="150" spans="2:21" x14ac:dyDescent="0.2">
      <c r="B150" s="181">
        <f t="shared" si="26"/>
        <v>133</v>
      </c>
      <c r="C150" s="162">
        <f t="shared" si="27"/>
        <v>49339</v>
      </c>
      <c r="D150" s="6">
        <f>IFERROR((PPMT(Input!$E$55/12,B150,$C$6,Input!$E$54,-Input!$E$65,0))," ")</f>
        <v>-5457.2774343935753</v>
      </c>
      <c r="E150" s="6">
        <f>IFERROR(((IPMT(Input!$E$55/12,B150,$C$6,Input!$E$54,-Input!$E$65,0)))," ")</f>
        <v>-4860.2575677765253</v>
      </c>
      <c r="F150" s="6">
        <f t="shared" si="29"/>
        <v>-545037.44446496968</v>
      </c>
      <c r="G150" s="6">
        <f t="shared" si="28"/>
        <v>-827194.71082365362</v>
      </c>
      <c r="H150" s="6">
        <f t="shared" si="24"/>
        <v>-10317.535002170102</v>
      </c>
      <c r="I150" s="6">
        <f t="shared" si="25"/>
        <v>1054962.5555350303</v>
      </c>
      <c r="J150" s="6" t="str">
        <f>IF(B150&lt;&gt;"",IF(AND(Input!$H$54="Annual",MOD(B150,12)=0),Input!$J$54,IF(AND(Input!$H$54="1st Installment",B150=1),Input!$J$54,IF(Input!$H$54="Monthly",Input!$J$54,""))),"")</f>
        <v/>
      </c>
      <c r="K150" s="6" t="str">
        <f>IF(B150&lt;&gt;"",IF(AND(Input!$H$55="Annual",MOD(B150,12)=0),Input!$J$55,IF(AND(Input!$H$55="1st Installment",B150=1),Input!$J$55,IF(Input!$H$55="Monthly",Input!$J$55,""))),"")</f>
        <v/>
      </c>
      <c r="L150" s="6">
        <f>IF(B150&lt;&gt;"",IF(AND(Input!$H$56="Annual",MOD(B150,12)=0),Input!$J$56,IF(AND(Input!$H$56="1st Installment",B150=1),Input!$J$56,IF(Input!$H$56="Monthly",Input!$J$56,""))),"")</f>
        <v>208.33333333333334</v>
      </c>
      <c r="M150" s="6" t="str">
        <f>IF(B150&lt;&gt;"",IF(AND(Input!$H$57="Annual",MOD(B150,12)=0),Input!$J$57,IF(AND(Input!$H$57="1st Installment",B150=1),Input!$J$57,IF(Input!$H$57="Monthly",Input!$J$57,""))),"")</f>
        <v/>
      </c>
      <c r="N150" s="6" t="str">
        <f>IF(B150&lt;&gt;"",IF(AND(Input!$H$58="Annual",MOD(B150,12)=0),Input!$J$58,IF(AND(Input!$H$58="1st Installment",B150=1),Input!$J$58,IF(Input!$H$58="Monthly",Input!$J$58,IF(AND(Input!$H$58="End of the loan",B150=Input!$E$58),Input!$J$58,"")))),"")</f>
        <v/>
      </c>
      <c r="O150" s="6">
        <f t="shared" si="20"/>
        <v>208.33333333333334</v>
      </c>
      <c r="P150" s="4">
        <f t="shared" si="21"/>
        <v>10525.868335503435</v>
      </c>
      <c r="T150" s="9">
        <f t="shared" si="22"/>
        <v>49339</v>
      </c>
      <c r="U150" s="5">
        <f t="shared" si="23"/>
        <v>10525.87</v>
      </c>
    </row>
    <row r="151" spans="2:21" x14ac:dyDescent="0.2">
      <c r="B151" s="181">
        <f t="shared" si="26"/>
        <v>134</v>
      </c>
      <c r="C151" s="162">
        <f t="shared" si="27"/>
        <v>49368</v>
      </c>
      <c r="D151" s="6">
        <f>IFERROR((PPMT(Input!$E$55/12,B151,$C$6,Input!$E$54,-Input!$E$65,0))," ")</f>
        <v>-5482.2899559678799</v>
      </c>
      <c r="E151" s="6">
        <f>IFERROR(((IPMT(Input!$E$55/12,B151,$C$6,Input!$E$54,-Input!$E$65,0)))," ")</f>
        <v>-4835.2450462022216</v>
      </c>
      <c r="F151" s="6">
        <f t="shared" si="29"/>
        <v>-550519.7344209376</v>
      </c>
      <c r="G151" s="6">
        <f t="shared" si="28"/>
        <v>-832029.95586985582</v>
      </c>
      <c r="H151" s="6">
        <f t="shared" si="24"/>
        <v>-10317.535002170102</v>
      </c>
      <c r="I151" s="6">
        <f t="shared" si="25"/>
        <v>1049480.2655790625</v>
      </c>
      <c r="J151" s="6" t="str">
        <f>IF(B151&lt;&gt;"",IF(AND(Input!$H$54="Annual",MOD(B151,12)=0),Input!$J$54,IF(AND(Input!$H$54="1st Installment",B151=1),Input!$J$54,IF(Input!$H$54="Monthly",Input!$J$54,""))),"")</f>
        <v/>
      </c>
      <c r="K151" s="6" t="str">
        <f>IF(B151&lt;&gt;"",IF(AND(Input!$H$55="Annual",MOD(B151,12)=0),Input!$J$55,IF(AND(Input!$H$55="1st Installment",B151=1),Input!$J$55,IF(Input!$H$55="Monthly",Input!$J$55,""))),"")</f>
        <v/>
      </c>
      <c r="L151" s="6">
        <f>IF(B151&lt;&gt;"",IF(AND(Input!$H$56="Annual",MOD(B151,12)=0),Input!$J$56,IF(AND(Input!$H$56="1st Installment",B151=1),Input!$J$56,IF(Input!$H$56="Monthly",Input!$J$56,""))),"")</f>
        <v>208.33333333333334</v>
      </c>
      <c r="M151" s="6" t="str">
        <f>IF(B151&lt;&gt;"",IF(AND(Input!$H$57="Annual",MOD(B151,12)=0),Input!$J$57,IF(AND(Input!$H$57="1st Installment",B151=1),Input!$J$57,IF(Input!$H$57="Monthly",Input!$J$57,""))),"")</f>
        <v/>
      </c>
      <c r="N151" s="6" t="str">
        <f>IF(B151&lt;&gt;"",IF(AND(Input!$H$58="Annual",MOD(B151,12)=0),Input!$J$58,IF(AND(Input!$H$58="1st Installment",B151=1),Input!$J$58,IF(Input!$H$58="Monthly",Input!$J$58,IF(AND(Input!$H$58="End of the loan",B151=Input!$E$58),Input!$J$58,"")))),"")</f>
        <v/>
      </c>
      <c r="O151" s="6">
        <f t="shared" si="20"/>
        <v>208.33333333333334</v>
      </c>
      <c r="P151" s="4">
        <f t="shared" si="21"/>
        <v>10525.868335503435</v>
      </c>
      <c r="T151" s="9">
        <f t="shared" si="22"/>
        <v>49368</v>
      </c>
      <c r="U151" s="5">
        <f t="shared" si="23"/>
        <v>10525.87</v>
      </c>
    </row>
    <row r="152" spans="2:21" x14ac:dyDescent="0.2">
      <c r="B152" s="181">
        <f t="shared" si="26"/>
        <v>135</v>
      </c>
      <c r="C152" s="162">
        <f t="shared" si="27"/>
        <v>49398</v>
      </c>
      <c r="D152" s="6">
        <f>IFERROR((PPMT(Input!$E$55/12,B152,$C$6,Input!$E$54,-Input!$E$65,0))," ")</f>
        <v>-5507.4171182660657</v>
      </c>
      <c r="E152" s="6">
        <f>IFERROR(((IPMT(Input!$E$55/12,B152,$C$6,Input!$E$54,-Input!$E$65,0)))," ")</f>
        <v>-4810.117883904034</v>
      </c>
      <c r="F152" s="6">
        <f t="shared" si="29"/>
        <v>-556027.15153920371</v>
      </c>
      <c r="G152" s="6">
        <f t="shared" si="28"/>
        <v>-836840.07375375985</v>
      </c>
      <c r="H152" s="6">
        <f t="shared" si="24"/>
        <v>-10317.5350021701</v>
      </c>
      <c r="I152" s="6">
        <f t="shared" si="25"/>
        <v>1043972.8484607963</v>
      </c>
      <c r="J152" s="6" t="str">
        <f>IF(B152&lt;&gt;"",IF(AND(Input!$H$54="Annual",MOD(B152,12)=0),Input!$J$54,IF(AND(Input!$H$54="1st Installment",B152=1),Input!$J$54,IF(Input!$H$54="Monthly",Input!$J$54,""))),"")</f>
        <v/>
      </c>
      <c r="K152" s="6" t="str">
        <f>IF(B152&lt;&gt;"",IF(AND(Input!$H$55="Annual",MOD(B152,12)=0),Input!$J$55,IF(AND(Input!$H$55="1st Installment",B152=1),Input!$J$55,IF(Input!$H$55="Monthly",Input!$J$55,""))),"")</f>
        <v/>
      </c>
      <c r="L152" s="6">
        <f>IF(B152&lt;&gt;"",IF(AND(Input!$H$56="Annual",MOD(B152,12)=0),Input!$J$56,IF(AND(Input!$H$56="1st Installment",B152=1),Input!$J$56,IF(Input!$H$56="Monthly",Input!$J$56,""))),"")</f>
        <v>208.33333333333334</v>
      </c>
      <c r="M152" s="6" t="str">
        <f>IF(B152&lt;&gt;"",IF(AND(Input!$H$57="Annual",MOD(B152,12)=0),Input!$J$57,IF(AND(Input!$H$57="1st Installment",B152=1),Input!$J$57,IF(Input!$H$57="Monthly",Input!$J$57,""))),"")</f>
        <v/>
      </c>
      <c r="N152" s="6" t="str">
        <f>IF(B152&lt;&gt;"",IF(AND(Input!$H$58="Annual",MOD(B152,12)=0),Input!$J$58,IF(AND(Input!$H$58="1st Installment",B152=1),Input!$J$58,IF(Input!$H$58="Monthly",Input!$J$58,IF(AND(Input!$H$58="End of the loan",B152=Input!$E$58),Input!$J$58,"")))),"")</f>
        <v/>
      </c>
      <c r="O152" s="6">
        <f t="shared" si="20"/>
        <v>208.33333333333334</v>
      </c>
      <c r="P152" s="4">
        <f t="shared" si="21"/>
        <v>10525.868335503434</v>
      </c>
      <c r="T152" s="9">
        <f t="shared" si="22"/>
        <v>49398</v>
      </c>
      <c r="U152" s="5">
        <f t="shared" si="23"/>
        <v>10525.87</v>
      </c>
    </row>
    <row r="153" spans="2:21" x14ac:dyDescent="0.2">
      <c r="B153" s="181">
        <f t="shared" si="26"/>
        <v>136</v>
      </c>
      <c r="C153" s="162">
        <f t="shared" si="27"/>
        <v>49429</v>
      </c>
      <c r="D153" s="6">
        <f>IFERROR((PPMT(Input!$E$55/12,B153,$C$6,Input!$E$54,-Input!$E$65,0))," ")</f>
        <v>-5532.6594467247851</v>
      </c>
      <c r="E153" s="6">
        <f>IFERROR(((IPMT(Input!$E$55/12,B153,$C$6,Input!$E$54,-Input!$E$65,0)))," ")</f>
        <v>-4784.8755554453155</v>
      </c>
      <c r="F153" s="6">
        <f t="shared" si="29"/>
        <v>-561559.81098592852</v>
      </c>
      <c r="G153" s="6">
        <f t="shared" si="28"/>
        <v>-841624.94930920517</v>
      </c>
      <c r="H153" s="6">
        <f t="shared" si="24"/>
        <v>-10317.535002170102</v>
      </c>
      <c r="I153" s="6">
        <f t="shared" si="25"/>
        <v>1038440.1890140715</v>
      </c>
      <c r="J153" s="6" t="str">
        <f>IF(B153&lt;&gt;"",IF(AND(Input!$H$54="Annual",MOD(B153,12)=0),Input!$J$54,IF(AND(Input!$H$54="1st Installment",B153=1),Input!$J$54,IF(Input!$H$54="Monthly",Input!$J$54,""))),"")</f>
        <v/>
      </c>
      <c r="K153" s="6" t="str">
        <f>IF(B153&lt;&gt;"",IF(AND(Input!$H$55="Annual",MOD(B153,12)=0),Input!$J$55,IF(AND(Input!$H$55="1st Installment",B153=1),Input!$J$55,IF(Input!$H$55="Monthly",Input!$J$55,""))),"")</f>
        <v/>
      </c>
      <c r="L153" s="6">
        <f>IF(B153&lt;&gt;"",IF(AND(Input!$H$56="Annual",MOD(B153,12)=0),Input!$J$56,IF(AND(Input!$H$56="1st Installment",B153=1),Input!$J$56,IF(Input!$H$56="Monthly",Input!$J$56,""))),"")</f>
        <v>208.33333333333334</v>
      </c>
      <c r="M153" s="6" t="str">
        <f>IF(B153&lt;&gt;"",IF(AND(Input!$H$57="Annual",MOD(B153,12)=0),Input!$J$57,IF(AND(Input!$H$57="1st Installment",B153=1),Input!$J$57,IF(Input!$H$57="Monthly",Input!$J$57,""))),"")</f>
        <v/>
      </c>
      <c r="N153" s="6" t="str">
        <f>IF(B153&lt;&gt;"",IF(AND(Input!$H$58="Annual",MOD(B153,12)=0),Input!$J$58,IF(AND(Input!$H$58="1st Installment",B153=1),Input!$J$58,IF(Input!$H$58="Monthly",Input!$J$58,IF(AND(Input!$H$58="End of the loan",B153=Input!$E$58),Input!$J$58,"")))),"")</f>
        <v/>
      </c>
      <c r="O153" s="6">
        <f t="shared" si="20"/>
        <v>208.33333333333334</v>
      </c>
      <c r="P153" s="4">
        <f t="shared" si="21"/>
        <v>10525.868335503435</v>
      </c>
      <c r="T153" s="9">
        <f t="shared" si="22"/>
        <v>49429</v>
      </c>
      <c r="U153" s="5">
        <f t="shared" si="23"/>
        <v>10525.87</v>
      </c>
    </row>
    <row r="154" spans="2:21" x14ac:dyDescent="0.2">
      <c r="B154" s="181">
        <f t="shared" si="26"/>
        <v>137</v>
      </c>
      <c r="C154" s="162">
        <f t="shared" si="27"/>
        <v>49459</v>
      </c>
      <c r="D154" s="6">
        <f>IFERROR((PPMT(Input!$E$55/12,B154,$C$6,Input!$E$54,-Input!$E$65,0))," ")</f>
        <v>-5558.0174691889406</v>
      </c>
      <c r="E154" s="6">
        <f>IFERROR(((IPMT(Input!$E$55/12,B154,$C$6,Input!$E$54,-Input!$E$65,0)))," ")</f>
        <v>-4759.51753298116</v>
      </c>
      <c r="F154" s="6">
        <f t="shared" si="29"/>
        <v>-567117.82845511741</v>
      </c>
      <c r="G154" s="6">
        <f t="shared" si="28"/>
        <v>-846384.46684218629</v>
      </c>
      <c r="H154" s="6">
        <f t="shared" si="24"/>
        <v>-10317.535002170102</v>
      </c>
      <c r="I154" s="6">
        <f t="shared" si="25"/>
        <v>1032882.1715448826</v>
      </c>
      <c r="J154" s="6" t="str">
        <f>IF(B154&lt;&gt;"",IF(AND(Input!$H$54="Annual",MOD(B154,12)=0),Input!$J$54,IF(AND(Input!$H$54="1st Installment",B154=1),Input!$J$54,IF(Input!$H$54="Monthly",Input!$J$54,""))),"")</f>
        <v/>
      </c>
      <c r="K154" s="6" t="str">
        <f>IF(B154&lt;&gt;"",IF(AND(Input!$H$55="Annual",MOD(B154,12)=0),Input!$J$55,IF(AND(Input!$H$55="1st Installment",B154=1),Input!$J$55,IF(Input!$H$55="Monthly",Input!$J$55,""))),"")</f>
        <v/>
      </c>
      <c r="L154" s="6">
        <f>IF(B154&lt;&gt;"",IF(AND(Input!$H$56="Annual",MOD(B154,12)=0),Input!$J$56,IF(AND(Input!$H$56="1st Installment",B154=1),Input!$J$56,IF(Input!$H$56="Monthly",Input!$J$56,""))),"")</f>
        <v>208.33333333333334</v>
      </c>
      <c r="M154" s="6" t="str">
        <f>IF(B154&lt;&gt;"",IF(AND(Input!$H$57="Annual",MOD(B154,12)=0),Input!$J$57,IF(AND(Input!$H$57="1st Installment",B154=1),Input!$J$57,IF(Input!$H$57="Monthly",Input!$J$57,""))),"")</f>
        <v/>
      </c>
      <c r="N154" s="6" t="str">
        <f>IF(B154&lt;&gt;"",IF(AND(Input!$H$58="Annual",MOD(B154,12)=0),Input!$J$58,IF(AND(Input!$H$58="1st Installment",B154=1),Input!$J$58,IF(Input!$H$58="Monthly",Input!$J$58,IF(AND(Input!$H$58="End of the loan",B154=Input!$E$58),Input!$J$58,"")))),"")</f>
        <v/>
      </c>
      <c r="O154" s="6">
        <f t="shared" si="20"/>
        <v>208.33333333333334</v>
      </c>
      <c r="P154" s="4">
        <f t="shared" si="21"/>
        <v>10525.868335503435</v>
      </c>
      <c r="T154" s="9">
        <f t="shared" si="22"/>
        <v>49459</v>
      </c>
      <c r="U154" s="5">
        <f t="shared" si="23"/>
        <v>10525.87</v>
      </c>
    </row>
    <row r="155" spans="2:21" x14ac:dyDescent="0.2">
      <c r="B155" s="181">
        <f t="shared" si="26"/>
        <v>138</v>
      </c>
      <c r="C155" s="162">
        <f t="shared" si="27"/>
        <v>49490</v>
      </c>
      <c r="D155" s="6">
        <f>IFERROR((PPMT(Input!$E$55/12,B155,$C$6,Input!$E$54,-Input!$E$65,0))," ")</f>
        <v>-5583.4917159227234</v>
      </c>
      <c r="E155" s="6">
        <f>IFERROR(((IPMT(Input!$E$55/12,B155,$C$6,Input!$E$54,-Input!$E$65,0)))," ")</f>
        <v>-4734.0432862473772</v>
      </c>
      <c r="F155" s="6">
        <f t="shared" si="29"/>
        <v>-572701.32017104013</v>
      </c>
      <c r="G155" s="6">
        <f t="shared" si="28"/>
        <v>-851118.5101284337</v>
      </c>
      <c r="H155" s="6">
        <f t="shared" si="24"/>
        <v>-10317.535002170102</v>
      </c>
      <c r="I155" s="6">
        <f t="shared" si="25"/>
        <v>1027298.6798289599</v>
      </c>
      <c r="J155" s="6" t="str">
        <f>IF(B155&lt;&gt;"",IF(AND(Input!$H$54="Annual",MOD(B155,12)=0),Input!$J$54,IF(AND(Input!$H$54="1st Installment",B155=1),Input!$J$54,IF(Input!$H$54="Monthly",Input!$J$54,""))),"")</f>
        <v/>
      </c>
      <c r="K155" s="6" t="str">
        <f>IF(B155&lt;&gt;"",IF(AND(Input!$H$55="Annual",MOD(B155,12)=0),Input!$J$55,IF(AND(Input!$H$55="1st Installment",B155=1),Input!$J$55,IF(Input!$H$55="Monthly",Input!$J$55,""))),"")</f>
        <v/>
      </c>
      <c r="L155" s="6">
        <f>IF(B155&lt;&gt;"",IF(AND(Input!$H$56="Annual",MOD(B155,12)=0),Input!$J$56,IF(AND(Input!$H$56="1st Installment",B155=1),Input!$J$56,IF(Input!$H$56="Monthly",Input!$J$56,""))),"")</f>
        <v>208.33333333333334</v>
      </c>
      <c r="M155" s="6" t="str">
        <f>IF(B155&lt;&gt;"",IF(AND(Input!$H$57="Annual",MOD(B155,12)=0),Input!$J$57,IF(AND(Input!$H$57="1st Installment",B155=1),Input!$J$57,IF(Input!$H$57="Monthly",Input!$J$57,""))),"")</f>
        <v/>
      </c>
      <c r="N155" s="6" t="str">
        <f>IF(B155&lt;&gt;"",IF(AND(Input!$H$58="Annual",MOD(B155,12)=0),Input!$J$58,IF(AND(Input!$H$58="1st Installment",B155=1),Input!$J$58,IF(Input!$H$58="Monthly",Input!$J$58,IF(AND(Input!$H$58="End of the loan",B155=Input!$E$58),Input!$J$58,"")))),"")</f>
        <v/>
      </c>
      <c r="O155" s="6">
        <f t="shared" si="20"/>
        <v>208.33333333333334</v>
      </c>
      <c r="P155" s="4">
        <f t="shared" si="21"/>
        <v>10525.868335503435</v>
      </c>
      <c r="T155" s="9">
        <f t="shared" si="22"/>
        <v>49490</v>
      </c>
      <c r="U155" s="5">
        <f t="shared" si="23"/>
        <v>10525.87</v>
      </c>
    </row>
    <row r="156" spans="2:21" x14ac:dyDescent="0.2">
      <c r="B156" s="181">
        <f t="shared" si="26"/>
        <v>139</v>
      </c>
      <c r="C156" s="162">
        <f t="shared" si="27"/>
        <v>49520</v>
      </c>
      <c r="D156" s="6">
        <f>IFERROR((PPMT(Input!$E$55/12,B156,$C$6,Input!$E$54,-Input!$E$65,0))," ")</f>
        <v>-5609.0827196207028</v>
      </c>
      <c r="E156" s="6">
        <f>IFERROR(((IPMT(Input!$E$55/12,B156,$C$6,Input!$E$54,-Input!$E$65,0)))," ")</f>
        <v>-4708.4522825493987</v>
      </c>
      <c r="F156" s="6">
        <f t="shared" si="29"/>
        <v>-578310.4028906608</v>
      </c>
      <c r="G156" s="6">
        <f t="shared" si="28"/>
        <v>-855826.96241098305</v>
      </c>
      <c r="H156" s="6">
        <f t="shared" si="24"/>
        <v>-10317.535002170102</v>
      </c>
      <c r="I156" s="6">
        <f t="shared" si="25"/>
        <v>1021689.5971093392</v>
      </c>
      <c r="J156" s="6" t="str">
        <f>IF(B156&lt;&gt;"",IF(AND(Input!$H$54="Annual",MOD(B156,12)=0),Input!$J$54,IF(AND(Input!$H$54="1st Installment",B156=1),Input!$J$54,IF(Input!$H$54="Monthly",Input!$J$54,""))),"")</f>
        <v/>
      </c>
      <c r="K156" s="6" t="str">
        <f>IF(B156&lt;&gt;"",IF(AND(Input!$H$55="Annual",MOD(B156,12)=0),Input!$J$55,IF(AND(Input!$H$55="1st Installment",B156=1),Input!$J$55,IF(Input!$H$55="Monthly",Input!$J$55,""))),"")</f>
        <v/>
      </c>
      <c r="L156" s="6">
        <f>IF(B156&lt;&gt;"",IF(AND(Input!$H$56="Annual",MOD(B156,12)=0),Input!$J$56,IF(AND(Input!$H$56="1st Installment",B156=1),Input!$J$56,IF(Input!$H$56="Monthly",Input!$J$56,""))),"")</f>
        <v>208.33333333333334</v>
      </c>
      <c r="M156" s="6" t="str">
        <f>IF(B156&lt;&gt;"",IF(AND(Input!$H$57="Annual",MOD(B156,12)=0),Input!$J$57,IF(AND(Input!$H$57="1st Installment",B156=1),Input!$J$57,IF(Input!$H$57="Monthly",Input!$J$57,""))),"")</f>
        <v/>
      </c>
      <c r="N156" s="6" t="str">
        <f>IF(B156&lt;&gt;"",IF(AND(Input!$H$58="Annual",MOD(B156,12)=0),Input!$J$58,IF(AND(Input!$H$58="1st Installment",B156=1),Input!$J$58,IF(Input!$H$58="Monthly",Input!$J$58,IF(AND(Input!$H$58="End of the loan",B156=Input!$E$58),Input!$J$58,"")))),"")</f>
        <v/>
      </c>
      <c r="O156" s="6">
        <f t="shared" si="20"/>
        <v>208.33333333333334</v>
      </c>
      <c r="P156" s="4">
        <f t="shared" si="21"/>
        <v>10525.868335503435</v>
      </c>
      <c r="T156" s="9">
        <f t="shared" si="22"/>
        <v>49520</v>
      </c>
      <c r="U156" s="5">
        <f t="shared" si="23"/>
        <v>10525.87</v>
      </c>
    </row>
    <row r="157" spans="2:21" x14ac:dyDescent="0.2">
      <c r="B157" s="181">
        <f t="shared" si="26"/>
        <v>140</v>
      </c>
      <c r="C157" s="162">
        <f t="shared" si="27"/>
        <v>49551</v>
      </c>
      <c r="D157" s="6">
        <f>IFERROR((PPMT(Input!$E$55/12,B157,$C$6,Input!$E$54,-Input!$E$65,0))," ")</f>
        <v>-5634.7910154189649</v>
      </c>
      <c r="E157" s="6">
        <f>IFERROR(((IPMT(Input!$E$55/12,B157,$C$6,Input!$E$54,-Input!$E$65,0)))," ")</f>
        <v>-4682.7439867511366</v>
      </c>
      <c r="F157" s="6">
        <f t="shared" si="29"/>
        <v>-583945.19390607974</v>
      </c>
      <c r="G157" s="6">
        <f t="shared" si="28"/>
        <v>-860509.70639773423</v>
      </c>
      <c r="H157" s="6">
        <f t="shared" si="24"/>
        <v>-10317.535002170102</v>
      </c>
      <c r="I157" s="6">
        <f t="shared" si="25"/>
        <v>1016054.8060939203</v>
      </c>
      <c r="J157" s="6" t="str">
        <f>IF(B157&lt;&gt;"",IF(AND(Input!$H$54="Annual",MOD(B157,12)=0),Input!$J$54,IF(AND(Input!$H$54="1st Installment",B157=1),Input!$J$54,IF(Input!$H$54="Monthly",Input!$J$54,""))),"")</f>
        <v/>
      </c>
      <c r="K157" s="6" t="str">
        <f>IF(B157&lt;&gt;"",IF(AND(Input!$H$55="Annual",MOD(B157,12)=0),Input!$J$55,IF(AND(Input!$H$55="1st Installment",B157=1),Input!$J$55,IF(Input!$H$55="Monthly",Input!$J$55,""))),"")</f>
        <v/>
      </c>
      <c r="L157" s="6">
        <f>IF(B157&lt;&gt;"",IF(AND(Input!$H$56="Annual",MOD(B157,12)=0),Input!$J$56,IF(AND(Input!$H$56="1st Installment",B157=1),Input!$J$56,IF(Input!$H$56="Monthly",Input!$J$56,""))),"")</f>
        <v>208.33333333333334</v>
      </c>
      <c r="M157" s="6" t="str">
        <f>IF(B157&lt;&gt;"",IF(AND(Input!$H$57="Annual",MOD(B157,12)=0),Input!$J$57,IF(AND(Input!$H$57="1st Installment",B157=1),Input!$J$57,IF(Input!$H$57="Monthly",Input!$J$57,""))),"")</f>
        <v/>
      </c>
      <c r="N157" s="6" t="str">
        <f>IF(B157&lt;&gt;"",IF(AND(Input!$H$58="Annual",MOD(B157,12)=0),Input!$J$58,IF(AND(Input!$H$58="1st Installment",B157=1),Input!$J$58,IF(Input!$H$58="Monthly",Input!$J$58,IF(AND(Input!$H$58="End of the loan",B157=Input!$E$58),Input!$J$58,"")))),"")</f>
        <v/>
      </c>
      <c r="O157" s="6">
        <f t="shared" si="20"/>
        <v>208.33333333333334</v>
      </c>
      <c r="P157" s="4">
        <f t="shared" si="21"/>
        <v>10525.868335503435</v>
      </c>
      <c r="T157" s="9">
        <f t="shared" si="22"/>
        <v>49551</v>
      </c>
      <c r="U157" s="5">
        <f t="shared" si="23"/>
        <v>10525.87</v>
      </c>
    </row>
    <row r="158" spans="2:21" x14ac:dyDescent="0.2">
      <c r="B158" s="181">
        <f t="shared" si="26"/>
        <v>141</v>
      </c>
      <c r="C158" s="162">
        <f t="shared" si="27"/>
        <v>49582</v>
      </c>
      <c r="D158" s="6">
        <f>IFERROR((PPMT(Input!$E$55/12,B158,$C$6,Input!$E$54,-Input!$E$65,0))," ")</f>
        <v>-5660.6171409063018</v>
      </c>
      <c r="E158" s="6">
        <f>IFERROR(((IPMT(Input!$E$55/12,B158,$C$6,Input!$E$54,-Input!$E$65,0)))," ")</f>
        <v>-4656.9178612637998</v>
      </c>
      <c r="F158" s="6">
        <f t="shared" si="29"/>
        <v>-589605.81104698603</v>
      </c>
      <c r="G158" s="6">
        <f t="shared" si="28"/>
        <v>-865166.62425899808</v>
      </c>
      <c r="H158" s="6">
        <f t="shared" si="24"/>
        <v>-10317.535002170102</v>
      </c>
      <c r="I158" s="6">
        <f t="shared" si="25"/>
        <v>1010394.188953014</v>
      </c>
      <c r="J158" s="6" t="str">
        <f>IF(B158&lt;&gt;"",IF(AND(Input!$H$54="Annual",MOD(B158,12)=0),Input!$J$54,IF(AND(Input!$H$54="1st Installment",B158=1),Input!$J$54,IF(Input!$H$54="Monthly",Input!$J$54,""))),"")</f>
        <v/>
      </c>
      <c r="K158" s="6" t="str">
        <f>IF(B158&lt;&gt;"",IF(AND(Input!$H$55="Annual",MOD(B158,12)=0),Input!$J$55,IF(AND(Input!$H$55="1st Installment",B158=1),Input!$J$55,IF(Input!$H$55="Monthly",Input!$J$55,""))),"")</f>
        <v/>
      </c>
      <c r="L158" s="6">
        <f>IF(B158&lt;&gt;"",IF(AND(Input!$H$56="Annual",MOD(B158,12)=0),Input!$J$56,IF(AND(Input!$H$56="1st Installment",B158=1),Input!$J$56,IF(Input!$H$56="Monthly",Input!$J$56,""))),"")</f>
        <v>208.33333333333334</v>
      </c>
      <c r="M158" s="6" t="str">
        <f>IF(B158&lt;&gt;"",IF(AND(Input!$H$57="Annual",MOD(B158,12)=0),Input!$J$57,IF(AND(Input!$H$57="1st Installment",B158=1),Input!$J$57,IF(Input!$H$57="Monthly",Input!$J$57,""))),"")</f>
        <v/>
      </c>
      <c r="N158" s="6" t="str">
        <f>IF(B158&lt;&gt;"",IF(AND(Input!$H$58="Annual",MOD(B158,12)=0),Input!$J$58,IF(AND(Input!$H$58="1st Installment",B158=1),Input!$J$58,IF(Input!$H$58="Monthly",Input!$J$58,IF(AND(Input!$H$58="End of the loan",B158=Input!$E$58),Input!$J$58,"")))),"")</f>
        <v/>
      </c>
      <c r="O158" s="6">
        <f t="shared" si="20"/>
        <v>208.33333333333334</v>
      </c>
      <c r="P158" s="4">
        <f t="shared" si="21"/>
        <v>10525.868335503435</v>
      </c>
      <c r="T158" s="9">
        <f t="shared" si="22"/>
        <v>49582</v>
      </c>
      <c r="U158" s="5">
        <f t="shared" si="23"/>
        <v>10525.87</v>
      </c>
    </row>
    <row r="159" spans="2:21" x14ac:dyDescent="0.2">
      <c r="B159" s="181">
        <f t="shared" si="26"/>
        <v>142</v>
      </c>
      <c r="C159" s="162">
        <f t="shared" si="27"/>
        <v>49612</v>
      </c>
      <c r="D159" s="6">
        <f>IFERROR((PPMT(Input!$E$55/12,B159,$C$6,Input!$E$54,-Input!$E$65,0))," ")</f>
        <v>-5686.5616361354541</v>
      </c>
      <c r="E159" s="6">
        <f>IFERROR(((IPMT(Input!$E$55/12,B159,$C$6,Input!$E$54,-Input!$E$65,0)))," ")</f>
        <v>-4630.9733660346465</v>
      </c>
      <c r="F159" s="6">
        <f t="shared" si="29"/>
        <v>-595292.37268312147</v>
      </c>
      <c r="G159" s="6">
        <f t="shared" si="28"/>
        <v>-869797.59762503277</v>
      </c>
      <c r="H159" s="6">
        <f t="shared" si="24"/>
        <v>-10317.535002170102</v>
      </c>
      <c r="I159" s="6">
        <f t="shared" si="25"/>
        <v>1004707.6273168785</v>
      </c>
      <c r="J159" s="6" t="str">
        <f>IF(B159&lt;&gt;"",IF(AND(Input!$H$54="Annual",MOD(B159,12)=0),Input!$J$54,IF(AND(Input!$H$54="1st Installment",B159=1),Input!$J$54,IF(Input!$H$54="Monthly",Input!$J$54,""))),"")</f>
        <v/>
      </c>
      <c r="K159" s="6" t="str">
        <f>IF(B159&lt;&gt;"",IF(AND(Input!$H$55="Annual",MOD(B159,12)=0),Input!$J$55,IF(AND(Input!$H$55="1st Installment",B159=1),Input!$J$55,IF(Input!$H$55="Monthly",Input!$J$55,""))),"")</f>
        <v/>
      </c>
      <c r="L159" s="6">
        <f>IF(B159&lt;&gt;"",IF(AND(Input!$H$56="Annual",MOD(B159,12)=0),Input!$J$56,IF(AND(Input!$H$56="1st Installment",B159=1),Input!$J$56,IF(Input!$H$56="Monthly",Input!$J$56,""))),"")</f>
        <v>208.33333333333334</v>
      </c>
      <c r="M159" s="6" t="str">
        <f>IF(B159&lt;&gt;"",IF(AND(Input!$H$57="Annual",MOD(B159,12)=0),Input!$J$57,IF(AND(Input!$H$57="1st Installment",B159=1),Input!$J$57,IF(Input!$H$57="Monthly",Input!$J$57,""))),"")</f>
        <v/>
      </c>
      <c r="N159" s="6" t="str">
        <f>IF(B159&lt;&gt;"",IF(AND(Input!$H$58="Annual",MOD(B159,12)=0),Input!$J$58,IF(AND(Input!$H$58="1st Installment",B159=1),Input!$J$58,IF(Input!$H$58="Monthly",Input!$J$58,IF(AND(Input!$H$58="End of the loan",B159=Input!$E$58),Input!$J$58,"")))),"")</f>
        <v/>
      </c>
      <c r="O159" s="6">
        <f t="shared" si="20"/>
        <v>208.33333333333334</v>
      </c>
      <c r="P159" s="4">
        <f t="shared" si="21"/>
        <v>10525.868335503435</v>
      </c>
      <c r="T159" s="9">
        <f t="shared" si="22"/>
        <v>49612</v>
      </c>
      <c r="U159" s="5">
        <f t="shared" si="23"/>
        <v>10525.87</v>
      </c>
    </row>
    <row r="160" spans="2:21" x14ac:dyDescent="0.2">
      <c r="B160" s="181">
        <f t="shared" si="26"/>
        <v>143</v>
      </c>
      <c r="C160" s="162">
        <f t="shared" si="27"/>
        <v>49643</v>
      </c>
      <c r="D160" s="6">
        <f>IFERROR((PPMT(Input!$E$55/12,B160,$C$6,Input!$E$54,-Input!$E$65,0))," ")</f>
        <v>-5712.6250436344098</v>
      </c>
      <c r="E160" s="6">
        <f>IFERROR(((IPMT(Input!$E$55/12,B160,$C$6,Input!$E$54,-Input!$E$65,0)))," ")</f>
        <v>-4604.9099585356917</v>
      </c>
      <c r="F160" s="6">
        <f t="shared" si="29"/>
        <v>-601004.99772675592</v>
      </c>
      <c r="G160" s="6">
        <f t="shared" si="28"/>
        <v>-874402.50758356845</v>
      </c>
      <c r="H160" s="6">
        <f t="shared" si="24"/>
        <v>-10317.535002170102</v>
      </c>
      <c r="I160" s="6">
        <f t="shared" si="25"/>
        <v>998995.00227324408</v>
      </c>
      <c r="J160" s="6" t="str">
        <f>IF(B160&lt;&gt;"",IF(AND(Input!$H$54="Annual",MOD(B160,12)=0),Input!$J$54,IF(AND(Input!$H$54="1st Installment",B160=1),Input!$J$54,IF(Input!$H$54="Monthly",Input!$J$54,""))),"")</f>
        <v/>
      </c>
      <c r="K160" s="6" t="str">
        <f>IF(B160&lt;&gt;"",IF(AND(Input!$H$55="Annual",MOD(B160,12)=0),Input!$J$55,IF(AND(Input!$H$55="1st Installment",B160=1),Input!$J$55,IF(Input!$H$55="Monthly",Input!$J$55,""))),"")</f>
        <v/>
      </c>
      <c r="L160" s="6">
        <f>IF(B160&lt;&gt;"",IF(AND(Input!$H$56="Annual",MOD(B160,12)=0),Input!$J$56,IF(AND(Input!$H$56="1st Installment",B160=1),Input!$J$56,IF(Input!$H$56="Monthly",Input!$J$56,""))),"")</f>
        <v>208.33333333333334</v>
      </c>
      <c r="M160" s="6" t="str">
        <f>IF(B160&lt;&gt;"",IF(AND(Input!$H$57="Annual",MOD(B160,12)=0),Input!$J$57,IF(AND(Input!$H$57="1st Installment",B160=1),Input!$J$57,IF(Input!$H$57="Monthly",Input!$J$57,""))),"")</f>
        <v/>
      </c>
      <c r="N160" s="6" t="str">
        <f>IF(B160&lt;&gt;"",IF(AND(Input!$H$58="Annual",MOD(B160,12)=0),Input!$J$58,IF(AND(Input!$H$58="1st Installment",B160=1),Input!$J$58,IF(Input!$H$58="Monthly",Input!$J$58,IF(AND(Input!$H$58="End of the loan",B160=Input!$E$58),Input!$J$58,"")))),"")</f>
        <v/>
      </c>
      <c r="O160" s="6">
        <f t="shared" si="20"/>
        <v>208.33333333333334</v>
      </c>
      <c r="P160" s="4">
        <f t="shared" si="21"/>
        <v>10525.868335503435</v>
      </c>
      <c r="T160" s="9">
        <f t="shared" si="22"/>
        <v>49643</v>
      </c>
      <c r="U160" s="5">
        <f t="shared" si="23"/>
        <v>10525.87</v>
      </c>
    </row>
    <row r="161" spans="2:21" x14ac:dyDescent="0.2">
      <c r="B161" s="181">
        <f t="shared" si="26"/>
        <v>144</v>
      </c>
      <c r="C161" s="162">
        <f t="shared" si="27"/>
        <v>49673</v>
      </c>
      <c r="D161" s="6">
        <f>IFERROR((PPMT(Input!$E$55/12,B161,$C$6,Input!$E$54,-Input!$E$65,0))," ")</f>
        <v>-5738.8079084177334</v>
      </c>
      <c r="E161" s="6">
        <f>IFERROR(((IPMT(Input!$E$55/12,B161,$C$6,Input!$E$54,-Input!$E$65,0)))," ")</f>
        <v>-4578.7270937523672</v>
      </c>
      <c r="F161" s="6">
        <f t="shared" si="29"/>
        <v>-606743.80563517369</v>
      </c>
      <c r="G161" s="6">
        <f t="shared" si="28"/>
        <v>-878981.23467732081</v>
      </c>
      <c r="H161" s="6">
        <f t="shared" si="24"/>
        <v>-10317.535002170102</v>
      </c>
      <c r="I161" s="6">
        <f t="shared" si="25"/>
        <v>993256.19436482631</v>
      </c>
      <c r="J161" s="6" t="str">
        <f>IF(B161&lt;&gt;"",IF(AND(Input!$H$54="Annual",MOD(B161,12)=0),Input!$J$54,IF(AND(Input!$H$54="1st Installment",B161=1),Input!$J$54,IF(Input!$H$54="Monthly",Input!$J$54,""))),"")</f>
        <v/>
      </c>
      <c r="K161" s="6">
        <f>IF(B161&lt;&gt;"",IF(AND(Input!$H$55="Annual",MOD(B161,12)=0),Input!$J$55,IF(AND(Input!$H$55="1st Installment",B161=1),Input!$J$55,IF(Input!$H$55="Monthly",Input!$J$55,""))),"")</f>
        <v>0</v>
      </c>
      <c r="L161" s="6">
        <f>IF(B161&lt;&gt;"",IF(AND(Input!$H$56="Annual",MOD(B161,12)=0),Input!$J$56,IF(AND(Input!$H$56="1st Installment",B161=1),Input!$J$56,IF(Input!$H$56="Monthly",Input!$J$56,""))),"")</f>
        <v>208.33333333333334</v>
      </c>
      <c r="M161" s="6" t="str">
        <f>IF(B161&lt;&gt;"",IF(AND(Input!$H$57="Annual",MOD(B161,12)=0),Input!$J$57,IF(AND(Input!$H$57="1st Installment",B161=1),Input!$J$57,IF(Input!$H$57="Monthly",Input!$J$57,""))),"")</f>
        <v/>
      </c>
      <c r="N161" s="6">
        <f>IF(B161&lt;&gt;"",IF(AND(Input!$H$58="Annual",MOD(B161,12)=0),Input!$J$58,IF(AND(Input!$H$58="1st Installment",B161=1),Input!$J$58,IF(Input!$H$58="Monthly",Input!$J$58,IF(AND(Input!$H$58="End of the loan",B161=Input!$E$58),Input!$J$58,"")))),"")</f>
        <v>0</v>
      </c>
      <c r="O161" s="6">
        <f t="shared" si="20"/>
        <v>208.33333333333334</v>
      </c>
      <c r="P161" s="4">
        <f t="shared" si="21"/>
        <v>10525.868335503435</v>
      </c>
      <c r="T161" s="9">
        <f t="shared" si="22"/>
        <v>49673</v>
      </c>
      <c r="U161" s="5">
        <f t="shared" si="23"/>
        <v>10525.87</v>
      </c>
    </row>
    <row r="162" spans="2:21" x14ac:dyDescent="0.2">
      <c r="B162" s="181">
        <f t="shared" si="26"/>
        <v>145</v>
      </c>
      <c r="C162" s="162">
        <f t="shared" si="27"/>
        <v>49704</v>
      </c>
      <c r="D162" s="6">
        <f>IFERROR((PPMT(Input!$E$55/12,B162,$C$6,Input!$E$54,-Input!$E$65,0))," ")</f>
        <v>-5765.110777997982</v>
      </c>
      <c r="E162" s="6">
        <f>IFERROR(((IPMT(Input!$E$55/12,B162,$C$6,Input!$E$54,-Input!$E$65,0)))," ")</f>
        <v>-4552.4242241721195</v>
      </c>
      <c r="F162" s="6">
        <f t="shared" si="29"/>
        <v>-612508.91641317168</v>
      </c>
      <c r="G162" s="6">
        <f t="shared" si="28"/>
        <v>-883533.65890149295</v>
      </c>
      <c r="H162" s="6">
        <f t="shared" si="24"/>
        <v>-10317.535002170102</v>
      </c>
      <c r="I162" s="6">
        <f t="shared" si="25"/>
        <v>987491.08358682832</v>
      </c>
      <c r="J162" s="6" t="str">
        <f>IF(B162&lt;&gt;"",IF(AND(Input!$H$54="Annual",MOD(B162,12)=0),Input!$J$54,IF(AND(Input!$H$54="1st Installment",B162=1),Input!$J$54,IF(Input!$H$54="Monthly",Input!$J$54,""))),"")</f>
        <v/>
      </c>
      <c r="K162" s="6" t="str">
        <f>IF(B162&lt;&gt;"",IF(AND(Input!$H$55="Annual",MOD(B162,12)=0),Input!$J$55,IF(AND(Input!$H$55="1st Installment",B162=1),Input!$J$55,IF(Input!$H$55="Monthly",Input!$J$55,""))),"")</f>
        <v/>
      </c>
      <c r="L162" s="6">
        <f>IF(B162&lt;&gt;"",IF(AND(Input!$H$56="Annual",MOD(B162,12)=0),Input!$J$56,IF(AND(Input!$H$56="1st Installment",B162=1),Input!$J$56,IF(Input!$H$56="Monthly",Input!$J$56,""))),"")</f>
        <v>208.33333333333334</v>
      </c>
      <c r="M162" s="6" t="str">
        <f>IF(B162&lt;&gt;"",IF(AND(Input!$H$57="Annual",MOD(B162,12)=0),Input!$J$57,IF(AND(Input!$H$57="1st Installment",B162=1),Input!$J$57,IF(Input!$H$57="Monthly",Input!$J$57,""))),"")</f>
        <v/>
      </c>
      <c r="N162" s="6" t="str">
        <f>IF(B162&lt;&gt;"",IF(AND(Input!$H$58="Annual",MOD(B162,12)=0),Input!$J$58,IF(AND(Input!$H$58="1st Installment",B162=1),Input!$J$58,IF(Input!$H$58="Monthly",Input!$J$58,IF(AND(Input!$H$58="End of the loan",B162=Input!$E$58),Input!$J$58,"")))),"")</f>
        <v/>
      </c>
      <c r="O162" s="6">
        <f t="shared" si="20"/>
        <v>208.33333333333334</v>
      </c>
      <c r="P162" s="4">
        <f t="shared" si="21"/>
        <v>10525.868335503435</v>
      </c>
      <c r="T162" s="9">
        <f t="shared" si="22"/>
        <v>49704</v>
      </c>
      <c r="U162" s="5">
        <f t="shared" si="23"/>
        <v>10525.87</v>
      </c>
    </row>
    <row r="163" spans="2:21" x14ac:dyDescent="0.2">
      <c r="B163" s="181">
        <f t="shared" si="26"/>
        <v>146</v>
      </c>
      <c r="C163" s="162">
        <f t="shared" si="27"/>
        <v>49734</v>
      </c>
      <c r="D163" s="6">
        <f>IFERROR((PPMT(Input!$E$55/12,B163,$C$6,Input!$E$54,-Input!$E$65,0))," ")</f>
        <v>-5791.5342023971398</v>
      </c>
      <c r="E163" s="6">
        <f>IFERROR(((IPMT(Input!$E$55/12,B163,$C$6,Input!$E$54,-Input!$E$65,0)))," ")</f>
        <v>-4526.0007997729626</v>
      </c>
      <c r="F163" s="6">
        <f t="shared" si="29"/>
        <v>-618300.45061556878</v>
      </c>
      <c r="G163" s="6">
        <f t="shared" si="28"/>
        <v>-888059.65970126586</v>
      </c>
      <c r="H163" s="6">
        <f t="shared" si="24"/>
        <v>-10317.535002170102</v>
      </c>
      <c r="I163" s="6">
        <f t="shared" si="25"/>
        <v>981699.54938443122</v>
      </c>
      <c r="J163" s="6" t="str">
        <f>IF(B163&lt;&gt;"",IF(AND(Input!$H$54="Annual",MOD(B163,12)=0),Input!$J$54,IF(AND(Input!$H$54="1st Installment",B163=1),Input!$J$54,IF(Input!$H$54="Monthly",Input!$J$54,""))),"")</f>
        <v/>
      </c>
      <c r="K163" s="6" t="str">
        <f>IF(B163&lt;&gt;"",IF(AND(Input!$H$55="Annual",MOD(B163,12)=0),Input!$J$55,IF(AND(Input!$H$55="1st Installment",B163=1),Input!$J$55,IF(Input!$H$55="Monthly",Input!$J$55,""))),"")</f>
        <v/>
      </c>
      <c r="L163" s="6">
        <f>IF(B163&lt;&gt;"",IF(AND(Input!$H$56="Annual",MOD(B163,12)=0),Input!$J$56,IF(AND(Input!$H$56="1st Installment",B163=1),Input!$J$56,IF(Input!$H$56="Monthly",Input!$J$56,""))),"")</f>
        <v>208.33333333333334</v>
      </c>
      <c r="M163" s="6" t="str">
        <f>IF(B163&lt;&gt;"",IF(AND(Input!$H$57="Annual",MOD(B163,12)=0),Input!$J$57,IF(AND(Input!$H$57="1st Installment",B163=1),Input!$J$57,IF(Input!$H$57="Monthly",Input!$J$57,""))),"")</f>
        <v/>
      </c>
      <c r="N163" s="6" t="str">
        <f>IF(B163&lt;&gt;"",IF(AND(Input!$H$58="Annual",MOD(B163,12)=0),Input!$J$58,IF(AND(Input!$H$58="1st Installment",B163=1),Input!$J$58,IF(Input!$H$58="Monthly",Input!$J$58,IF(AND(Input!$H$58="End of the loan",B163=Input!$E$58),Input!$J$58,"")))),"")</f>
        <v/>
      </c>
      <c r="O163" s="6">
        <f t="shared" si="20"/>
        <v>208.33333333333334</v>
      </c>
      <c r="P163" s="4">
        <f t="shared" si="21"/>
        <v>10525.868335503435</v>
      </c>
      <c r="T163" s="9">
        <f t="shared" si="22"/>
        <v>49734</v>
      </c>
      <c r="U163" s="5">
        <f t="shared" si="23"/>
        <v>10525.87</v>
      </c>
    </row>
    <row r="164" spans="2:21" x14ac:dyDescent="0.2">
      <c r="B164" s="181">
        <f t="shared" si="26"/>
        <v>147</v>
      </c>
      <c r="C164" s="162">
        <f t="shared" si="27"/>
        <v>49764</v>
      </c>
      <c r="D164" s="6">
        <f>IFERROR((PPMT(Input!$E$55/12,B164,$C$6,Input!$E$54,-Input!$E$65,0))," ")</f>
        <v>-5818.0787341581263</v>
      </c>
      <c r="E164" s="6">
        <f>IFERROR(((IPMT(Input!$E$55/12,B164,$C$6,Input!$E$54,-Input!$E$65,0)))," ")</f>
        <v>-4499.4562680119761</v>
      </c>
      <c r="F164" s="6">
        <f t="shared" si="29"/>
        <v>-624118.52934972686</v>
      </c>
      <c r="G164" s="6">
        <f t="shared" si="28"/>
        <v>-892559.1159692778</v>
      </c>
      <c r="H164" s="6">
        <f t="shared" si="24"/>
        <v>-10317.535002170102</v>
      </c>
      <c r="I164" s="6">
        <f t="shared" si="25"/>
        <v>975881.47065027314</v>
      </c>
      <c r="J164" s="6" t="str">
        <f>IF(B164&lt;&gt;"",IF(AND(Input!$H$54="Annual",MOD(B164,12)=0),Input!$J$54,IF(AND(Input!$H$54="1st Installment",B164=1),Input!$J$54,IF(Input!$H$54="Monthly",Input!$J$54,""))),"")</f>
        <v/>
      </c>
      <c r="K164" s="6" t="str">
        <f>IF(B164&lt;&gt;"",IF(AND(Input!$H$55="Annual",MOD(B164,12)=0),Input!$J$55,IF(AND(Input!$H$55="1st Installment",B164=1),Input!$J$55,IF(Input!$H$55="Monthly",Input!$J$55,""))),"")</f>
        <v/>
      </c>
      <c r="L164" s="6">
        <f>IF(B164&lt;&gt;"",IF(AND(Input!$H$56="Annual",MOD(B164,12)=0),Input!$J$56,IF(AND(Input!$H$56="1st Installment",B164=1),Input!$J$56,IF(Input!$H$56="Monthly",Input!$J$56,""))),"")</f>
        <v>208.33333333333334</v>
      </c>
      <c r="M164" s="6" t="str">
        <f>IF(B164&lt;&gt;"",IF(AND(Input!$H$57="Annual",MOD(B164,12)=0),Input!$J$57,IF(AND(Input!$H$57="1st Installment",B164=1),Input!$J$57,IF(Input!$H$57="Monthly",Input!$J$57,""))),"")</f>
        <v/>
      </c>
      <c r="N164" s="6" t="str">
        <f>IF(B164&lt;&gt;"",IF(AND(Input!$H$58="Annual",MOD(B164,12)=0),Input!$J$58,IF(AND(Input!$H$58="1st Installment",B164=1),Input!$J$58,IF(Input!$H$58="Monthly",Input!$J$58,IF(AND(Input!$H$58="End of the loan",B164=Input!$E$58),Input!$J$58,"")))),"")</f>
        <v/>
      </c>
      <c r="O164" s="6">
        <f t="shared" si="20"/>
        <v>208.33333333333334</v>
      </c>
      <c r="P164" s="4">
        <f t="shared" si="21"/>
        <v>10525.868335503435</v>
      </c>
      <c r="T164" s="9">
        <f t="shared" si="22"/>
        <v>49764</v>
      </c>
      <c r="U164" s="5">
        <f t="shared" si="23"/>
        <v>10525.87</v>
      </c>
    </row>
    <row r="165" spans="2:21" x14ac:dyDescent="0.2">
      <c r="B165" s="181">
        <f t="shared" si="26"/>
        <v>148</v>
      </c>
      <c r="C165" s="162">
        <f t="shared" si="27"/>
        <v>49795</v>
      </c>
      <c r="D165" s="6">
        <f>IFERROR((PPMT(Input!$E$55/12,B165,$C$6,Input!$E$54,-Input!$E$65,0))," ")</f>
        <v>-5844.744928356351</v>
      </c>
      <c r="E165" s="6">
        <f>IFERROR(((IPMT(Input!$E$55/12,B165,$C$6,Input!$E$54,-Input!$E$65,0)))," ")</f>
        <v>-4472.7900738137505</v>
      </c>
      <c r="F165" s="6">
        <f t="shared" si="29"/>
        <v>-629963.27427808323</v>
      </c>
      <c r="G165" s="6">
        <f t="shared" si="28"/>
        <v>-897031.90604309156</v>
      </c>
      <c r="H165" s="6">
        <f t="shared" si="24"/>
        <v>-10317.535002170102</v>
      </c>
      <c r="I165" s="6">
        <f t="shared" si="25"/>
        <v>970036.72572191677</v>
      </c>
      <c r="J165" s="6" t="str">
        <f>IF(B165&lt;&gt;"",IF(AND(Input!$H$54="Annual",MOD(B165,12)=0),Input!$J$54,IF(AND(Input!$H$54="1st Installment",B165=1),Input!$J$54,IF(Input!$H$54="Monthly",Input!$J$54,""))),"")</f>
        <v/>
      </c>
      <c r="K165" s="6" t="str">
        <f>IF(B165&lt;&gt;"",IF(AND(Input!$H$55="Annual",MOD(B165,12)=0),Input!$J$55,IF(AND(Input!$H$55="1st Installment",B165=1),Input!$J$55,IF(Input!$H$55="Monthly",Input!$J$55,""))),"")</f>
        <v/>
      </c>
      <c r="L165" s="6">
        <f>IF(B165&lt;&gt;"",IF(AND(Input!$H$56="Annual",MOD(B165,12)=0),Input!$J$56,IF(AND(Input!$H$56="1st Installment",B165=1),Input!$J$56,IF(Input!$H$56="Monthly",Input!$J$56,""))),"")</f>
        <v>208.33333333333334</v>
      </c>
      <c r="M165" s="6" t="str">
        <f>IF(B165&lt;&gt;"",IF(AND(Input!$H$57="Annual",MOD(B165,12)=0),Input!$J$57,IF(AND(Input!$H$57="1st Installment",B165=1),Input!$J$57,IF(Input!$H$57="Monthly",Input!$J$57,""))),"")</f>
        <v/>
      </c>
      <c r="N165" s="6" t="str">
        <f>IF(B165&lt;&gt;"",IF(AND(Input!$H$58="Annual",MOD(B165,12)=0),Input!$J$58,IF(AND(Input!$H$58="1st Installment",B165=1),Input!$J$58,IF(Input!$H$58="Monthly",Input!$J$58,IF(AND(Input!$H$58="End of the loan",B165=Input!$E$58),Input!$J$58,"")))),"")</f>
        <v/>
      </c>
      <c r="O165" s="6">
        <f t="shared" si="20"/>
        <v>208.33333333333334</v>
      </c>
      <c r="P165" s="4">
        <f t="shared" si="21"/>
        <v>10525.868335503435</v>
      </c>
      <c r="T165" s="9">
        <f t="shared" si="22"/>
        <v>49795</v>
      </c>
      <c r="U165" s="5">
        <f t="shared" si="23"/>
        <v>10525.87</v>
      </c>
    </row>
    <row r="166" spans="2:21" x14ac:dyDescent="0.2">
      <c r="B166" s="181">
        <f t="shared" si="26"/>
        <v>149</v>
      </c>
      <c r="C166" s="162">
        <f t="shared" si="27"/>
        <v>49825</v>
      </c>
      <c r="D166" s="6">
        <f>IFERROR((PPMT(Input!$E$55/12,B166,$C$6,Input!$E$54,-Input!$E$65,0))," ")</f>
        <v>-5871.5333426113175</v>
      </c>
      <c r="E166" s="6">
        <f>IFERROR(((IPMT(Input!$E$55/12,B166,$C$6,Input!$E$54,-Input!$E$65,0)))," ")</f>
        <v>-4446.001659558784</v>
      </c>
      <c r="F166" s="6">
        <f t="shared" si="29"/>
        <v>-635834.80762069451</v>
      </c>
      <c r="G166" s="6">
        <f t="shared" si="28"/>
        <v>-901477.90770265029</v>
      </c>
      <c r="H166" s="6">
        <f t="shared" si="24"/>
        <v>-10317.535002170102</v>
      </c>
      <c r="I166" s="6">
        <f t="shared" si="25"/>
        <v>964165.19237930549</v>
      </c>
      <c r="J166" s="6" t="str">
        <f>IF(B166&lt;&gt;"",IF(AND(Input!$H$54="Annual",MOD(B166,12)=0),Input!$J$54,IF(AND(Input!$H$54="1st Installment",B166=1),Input!$J$54,IF(Input!$H$54="Monthly",Input!$J$54,""))),"")</f>
        <v/>
      </c>
      <c r="K166" s="6" t="str">
        <f>IF(B166&lt;&gt;"",IF(AND(Input!$H$55="Annual",MOD(B166,12)=0),Input!$J$55,IF(AND(Input!$H$55="1st Installment",B166=1),Input!$J$55,IF(Input!$H$55="Monthly",Input!$J$55,""))),"")</f>
        <v/>
      </c>
      <c r="L166" s="6">
        <f>IF(B166&lt;&gt;"",IF(AND(Input!$H$56="Annual",MOD(B166,12)=0),Input!$J$56,IF(AND(Input!$H$56="1st Installment",B166=1),Input!$J$56,IF(Input!$H$56="Monthly",Input!$J$56,""))),"")</f>
        <v>208.33333333333334</v>
      </c>
      <c r="M166" s="6" t="str">
        <f>IF(B166&lt;&gt;"",IF(AND(Input!$H$57="Annual",MOD(B166,12)=0),Input!$J$57,IF(AND(Input!$H$57="1st Installment",B166=1),Input!$J$57,IF(Input!$H$57="Monthly",Input!$J$57,""))),"")</f>
        <v/>
      </c>
      <c r="N166" s="6" t="str">
        <f>IF(B166&lt;&gt;"",IF(AND(Input!$H$58="Annual",MOD(B166,12)=0),Input!$J$58,IF(AND(Input!$H$58="1st Installment",B166=1),Input!$J$58,IF(Input!$H$58="Monthly",Input!$J$58,IF(AND(Input!$H$58="End of the loan",B166=Input!$E$58),Input!$J$58,"")))),"")</f>
        <v/>
      </c>
      <c r="O166" s="6">
        <f t="shared" si="20"/>
        <v>208.33333333333334</v>
      </c>
      <c r="P166" s="4">
        <f t="shared" si="21"/>
        <v>10525.868335503435</v>
      </c>
      <c r="T166" s="9">
        <f t="shared" si="22"/>
        <v>49825</v>
      </c>
      <c r="U166" s="5">
        <f t="shared" si="23"/>
        <v>10525.87</v>
      </c>
    </row>
    <row r="167" spans="2:21" x14ac:dyDescent="0.2">
      <c r="B167" s="181">
        <f t="shared" si="26"/>
        <v>150</v>
      </c>
      <c r="C167" s="162">
        <f t="shared" si="27"/>
        <v>49856</v>
      </c>
      <c r="D167" s="6">
        <f>IFERROR((PPMT(Input!$E$55/12,B167,$C$6,Input!$E$54,-Input!$E$65,0))," ")</f>
        <v>-5898.4445370982858</v>
      </c>
      <c r="E167" s="6">
        <f>IFERROR(((IPMT(Input!$E$55/12,B167,$C$6,Input!$E$54,-Input!$E$65,0)))," ")</f>
        <v>-4419.0904650718148</v>
      </c>
      <c r="F167" s="6">
        <f t="shared" si="29"/>
        <v>-641733.2521577928</v>
      </c>
      <c r="G167" s="6">
        <f t="shared" si="28"/>
        <v>-905896.99816772214</v>
      </c>
      <c r="H167" s="6">
        <f t="shared" si="24"/>
        <v>-10317.535002170102</v>
      </c>
      <c r="I167" s="6">
        <f t="shared" si="25"/>
        <v>958266.7478422072</v>
      </c>
      <c r="J167" s="6" t="str">
        <f>IF(B167&lt;&gt;"",IF(AND(Input!$H$54="Annual",MOD(B167,12)=0),Input!$J$54,IF(AND(Input!$H$54="1st Installment",B167=1),Input!$J$54,IF(Input!$H$54="Monthly",Input!$J$54,""))),"")</f>
        <v/>
      </c>
      <c r="K167" s="6" t="str">
        <f>IF(B167&lt;&gt;"",IF(AND(Input!$H$55="Annual",MOD(B167,12)=0),Input!$J$55,IF(AND(Input!$H$55="1st Installment",B167=1),Input!$J$55,IF(Input!$H$55="Monthly",Input!$J$55,""))),"")</f>
        <v/>
      </c>
      <c r="L167" s="6">
        <f>IF(B167&lt;&gt;"",IF(AND(Input!$H$56="Annual",MOD(B167,12)=0),Input!$J$56,IF(AND(Input!$H$56="1st Installment",B167=1),Input!$J$56,IF(Input!$H$56="Monthly",Input!$J$56,""))),"")</f>
        <v>208.33333333333334</v>
      </c>
      <c r="M167" s="6" t="str">
        <f>IF(B167&lt;&gt;"",IF(AND(Input!$H$57="Annual",MOD(B167,12)=0),Input!$J$57,IF(AND(Input!$H$57="1st Installment",B167=1),Input!$J$57,IF(Input!$H$57="Monthly",Input!$J$57,""))),"")</f>
        <v/>
      </c>
      <c r="N167" s="6" t="str">
        <f>IF(B167&lt;&gt;"",IF(AND(Input!$H$58="Annual",MOD(B167,12)=0),Input!$J$58,IF(AND(Input!$H$58="1st Installment",B167=1),Input!$J$58,IF(Input!$H$58="Monthly",Input!$J$58,IF(AND(Input!$H$58="End of the loan",B167=Input!$E$58),Input!$J$58,"")))),"")</f>
        <v/>
      </c>
      <c r="O167" s="6">
        <f t="shared" si="20"/>
        <v>208.33333333333334</v>
      </c>
      <c r="P167" s="4">
        <f t="shared" si="21"/>
        <v>10525.868335503435</v>
      </c>
      <c r="T167" s="9">
        <f t="shared" si="22"/>
        <v>49856</v>
      </c>
      <c r="U167" s="5">
        <f t="shared" si="23"/>
        <v>10525.87</v>
      </c>
    </row>
    <row r="168" spans="2:21" x14ac:dyDescent="0.2">
      <c r="B168" s="181">
        <f t="shared" si="26"/>
        <v>151</v>
      </c>
      <c r="C168" s="162">
        <f t="shared" si="27"/>
        <v>49886</v>
      </c>
      <c r="D168" s="6">
        <f>IFERROR((PPMT(Input!$E$55/12,B168,$C$6,Input!$E$54,-Input!$E$65,0))," ")</f>
        <v>-5925.4790745599867</v>
      </c>
      <c r="E168" s="6">
        <f>IFERROR(((IPMT(Input!$E$55/12,B168,$C$6,Input!$E$54,-Input!$E$65,0)))," ")</f>
        <v>-4392.0559276101148</v>
      </c>
      <c r="F168" s="6">
        <f t="shared" si="29"/>
        <v>-647658.73123235279</v>
      </c>
      <c r="G168" s="6">
        <f t="shared" si="28"/>
        <v>-910289.05409533228</v>
      </c>
      <c r="H168" s="6">
        <f t="shared" si="24"/>
        <v>-10317.535002170102</v>
      </c>
      <c r="I168" s="6">
        <f t="shared" si="25"/>
        <v>952341.26876764721</v>
      </c>
      <c r="J168" s="6" t="str">
        <f>IF(B168&lt;&gt;"",IF(AND(Input!$H$54="Annual",MOD(B168,12)=0),Input!$J$54,IF(AND(Input!$H$54="1st Installment",B168=1),Input!$J$54,IF(Input!$H$54="Monthly",Input!$J$54,""))),"")</f>
        <v/>
      </c>
      <c r="K168" s="6" t="str">
        <f>IF(B168&lt;&gt;"",IF(AND(Input!$H$55="Annual",MOD(B168,12)=0),Input!$J$55,IF(AND(Input!$H$55="1st Installment",B168=1),Input!$J$55,IF(Input!$H$55="Monthly",Input!$J$55,""))),"")</f>
        <v/>
      </c>
      <c r="L168" s="6">
        <f>IF(B168&lt;&gt;"",IF(AND(Input!$H$56="Annual",MOD(B168,12)=0),Input!$J$56,IF(AND(Input!$H$56="1st Installment",B168=1),Input!$J$56,IF(Input!$H$56="Monthly",Input!$J$56,""))),"")</f>
        <v>208.33333333333334</v>
      </c>
      <c r="M168" s="6" t="str">
        <f>IF(B168&lt;&gt;"",IF(AND(Input!$H$57="Annual",MOD(B168,12)=0),Input!$J$57,IF(AND(Input!$H$57="1st Installment",B168=1),Input!$J$57,IF(Input!$H$57="Monthly",Input!$J$57,""))),"")</f>
        <v/>
      </c>
      <c r="N168" s="6" t="str">
        <f>IF(B168&lt;&gt;"",IF(AND(Input!$H$58="Annual",MOD(B168,12)=0),Input!$J$58,IF(AND(Input!$H$58="1st Installment",B168=1),Input!$J$58,IF(Input!$H$58="Monthly",Input!$J$58,IF(AND(Input!$H$58="End of the loan",B168=Input!$E$58),Input!$J$58,"")))),"")</f>
        <v/>
      </c>
      <c r="O168" s="6">
        <f t="shared" si="20"/>
        <v>208.33333333333334</v>
      </c>
      <c r="P168" s="4">
        <f t="shared" si="21"/>
        <v>10525.868335503435</v>
      </c>
      <c r="T168" s="9">
        <f t="shared" si="22"/>
        <v>49886</v>
      </c>
      <c r="U168" s="5">
        <f t="shared" si="23"/>
        <v>10525.87</v>
      </c>
    </row>
    <row r="169" spans="2:21" x14ac:dyDescent="0.2">
      <c r="B169" s="181">
        <f t="shared" si="26"/>
        <v>152</v>
      </c>
      <c r="C169" s="162">
        <f t="shared" si="27"/>
        <v>49917</v>
      </c>
      <c r="D169" s="6">
        <f>IFERROR((PPMT(Input!$E$55/12,B169,$C$6,Input!$E$54,-Input!$E$65,0))," ")</f>
        <v>-5952.6375203183861</v>
      </c>
      <c r="E169" s="6">
        <f>IFERROR(((IPMT(Input!$E$55/12,B169,$C$6,Input!$E$54,-Input!$E$65,0)))," ")</f>
        <v>-4364.8974818517154</v>
      </c>
      <c r="F169" s="6">
        <f t="shared" si="29"/>
        <v>-653611.36875267117</v>
      </c>
      <c r="G169" s="6">
        <f t="shared" si="28"/>
        <v>-914653.95157718402</v>
      </c>
      <c r="H169" s="6">
        <f t="shared" si="24"/>
        <v>-10317.535002170102</v>
      </c>
      <c r="I169" s="6">
        <f t="shared" si="25"/>
        <v>946388.63124732883</v>
      </c>
      <c r="J169" s="6" t="str">
        <f>IF(B169&lt;&gt;"",IF(AND(Input!$H$54="Annual",MOD(B169,12)=0),Input!$J$54,IF(AND(Input!$H$54="1st Installment",B169=1),Input!$J$54,IF(Input!$H$54="Monthly",Input!$J$54,""))),"")</f>
        <v/>
      </c>
      <c r="K169" s="6" t="str">
        <f>IF(B169&lt;&gt;"",IF(AND(Input!$H$55="Annual",MOD(B169,12)=0),Input!$J$55,IF(AND(Input!$H$55="1st Installment",B169=1),Input!$J$55,IF(Input!$H$55="Monthly",Input!$J$55,""))),"")</f>
        <v/>
      </c>
      <c r="L169" s="6">
        <f>IF(B169&lt;&gt;"",IF(AND(Input!$H$56="Annual",MOD(B169,12)=0),Input!$J$56,IF(AND(Input!$H$56="1st Installment",B169=1),Input!$J$56,IF(Input!$H$56="Monthly",Input!$J$56,""))),"")</f>
        <v>208.33333333333334</v>
      </c>
      <c r="M169" s="6" t="str">
        <f>IF(B169&lt;&gt;"",IF(AND(Input!$H$57="Annual",MOD(B169,12)=0),Input!$J$57,IF(AND(Input!$H$57="1st Installment",B169=1),Input!$J$57,IF(Input!$H$57="Monthly",Input!$J$57,""))),"")</f>
        <v/>
      </c>
      <c r="N169" s="6" t="str">
        <f>IF(B169&lt;&gt;"",IF(AND(Input!$H$58="Annual",MOD(B169,12)=0),Input!$J$58,IF(AND(Input!$H$58="1st Installment",B169=1),Input!$J$58,IF(Input!$H$58="Monthly",Input!$J$58,IF(AND(Input!$H$58="End of the loan",B169=Input!$E$58),Input!$J$58,"")))),"")</f>
        <v/>
      </c>
      <c r="O169" s="6">
        <f t="shared" si="20"/>
        <v>208.33333333333334</v>
      </c>
      <c r="P169" s="4">
        <f t="shared" si="21"/>
        <v>10525.868335503435</v>
      </c>
      <c r="T169" s="9">
        <f t="shared" si="22"/>
        <v>49917</v>
      </c>
      <c r="U169" s="5">
        <f t="shared" si="23"/>
        <v>10525.87</v>
      </c>
    </row>
    <row r="170" spans="2:21" x14ac:dyDescent="0.2">
      <c r="B170" s="181">
        <f t="shared" si="26"/>
        <v>153</v>
      </c>
      <c r="C170" s="162">
        <f t="shared" si="27"/>
        <v>49948</v>
      </c>
      <c r="D170" s="6">
        <f>IFERROR((PPMT(Input!$E$55/12,B170,$C$6,Input!$E$54,-Input!$E$65,0))," ")</f>
        <v>-5979.9204422865123</v>
      </c>
      <c r="E170" s="6">
        <f>IFERROR(((IPMT(Input!$E$55/12,B170,$C$6,Input!$E$54,-Input!$E$65,0)))," ")</f>
        <v>-4337.6145598835892</v>
      </c>
      <c r="F170" s="6">
        <f t="shared" si="29"/>
        <v>-659591.2891949577</v>
      </c>
      <c r="G170" s="6">
        <f t="shared" si="28"/>
        <v>-918991.56613706762</v>
      </c>
      <c r="H170" s="6">
        <f t="shared" si="24"/>
        <v>-10317.535002170102</v>
      </c>
      <c r="I170" s="6">
        <f t="shared" si="25"/>
        <v>940408.7108050423</v>
      </c>
      <c r="J170" s="6" t="str">
        <f>IF(B170&lt;&gt;"",IF(AND(Input!$H$54="Annual",MOD(B170,12)=0),Input!$J$54,IF(AND(Input!$H$54="1st Installment",B170=1),Input!$J$54,IF(Input!$H$54="Monthly",Input!$J$54,""))),"")</f>
        <v/>
      </c>
      <c r="K170" s="6" t="str">
        <f>IF(B170&lt;&gt;"",IF(AND(Input!$H$55="Annual",MOD(B170,12)=0),Input!$J$55,IF(AND(Input!$H$55="1st Installment",B170=1),Input!$J$55,IF(Input!$H$55="Monthly",Input!$J$55,""))),"")</f>
        <v/>
      </c>
      <c r="L170" s="6">
        <f>IF(B170&lt;&gt;"",IF(AND(Input!$H$56="Annual",MOD(B170,12)=0),Input!$J$56,IF(AND(Input!$H$56="1st Installment",B170=1),Input!$J$56,IF(Input!$H$56="Monthly",Input!$J$56,""))),"")</f>
        <v>208.33333333333334</v>
      </c>
      <c r="M170" s="6" t="str">
        <f>IF(B170&lt;&gt;"",IF(AND(Input!$H$57="Annual",MOD(B170,12)=0),Input!$J$57,IF(AND(Input!$H$57="1st Installment",B170=1),Input!$J$57,IF(Input!$H$57="Monthly",Input!$J$57,""))),"")</f>
        <v/>
      </c>
      <c r="N170" s="6" t="str">
        <f>IF(B170&lt;&gt;"",IF(AND(Input!$H$58="Annual",MOD(B170,12)=0),Input!$J$58,IF(AND(Input!$H$58="1st Installment",B170=1),Input!$J$58,IF(Input!$H$58="Monthly",Input!$J$58,IF(AND(Input!$H$58="End of the loan",B170=Input!$E$58),Input!$J$58,"")))),"")</f>
        <v/>
      </c>
      <c r="O170" s="6">
        <f t="shared" si="20"/>
        <v>208.33333333333334</v>
      </c>
      <c r="P170" s="4">
        <f t="shared" si="21"/>
        <v>10525.868335503435</v>
      </c>
      <c r="T170" s="9">
        <f t="shared" si="22"/>
        <v>49948</v>
      </c>
      <c r="U170" s="5">
        <f t="shared" si="23"/>
        <v>10525.87</v>
      </c>
    </row>
    <row r="171" spans="2:21" x14ac:dyDescent="0.2">
      <c r="B171" s="181">
        <f t="shared" si="26"/>
        <v>154</v>
      </c>
      <c r="C171" s="162">
        <f t="shared" si="27"/>
        <v>49978</v>
      </c>
      <c r="D171" s="6">
        <f>IFERROR((PPMT(Input!$E$55/12,B171,$C$6,Input!$E$54,-Input!$E$65,0))," ")</f>
        <v>-6007.3284109803262</v>
      </c>
      <c r="E171" s="6">
        <f>IFERROR(((IPMT(Input!$E$55/12,B171,$C$6,Input!$E$54,-Input!$E$65,0)))," ")</f>
        <v>-4310.2065911897753</v>
      </c>
      <c r="F171" s="6">
        <f t="shared" si="29"/>
        <v>-665598.61760593799</v>
      </c>
      <c r="G171" s="6">
        <f t="shared" si="28"/>
        <v>-923301.77272825735</v>
      </c>
      <c r="H171" s="6">
        <f t="shared" si="24"/>
        <v>-10317.535002170102</v>
      </c>
      <c r="I171" s="6">
        <f t="shared" si="25"/>
        <v>934401.38239406201</v>
      </c>
      <c r="J171" s="6" t="str">
        <f>IF(B171&lt;&gt;"",IF(AND(Input!$H$54="Annual",MOD(B171,12)=0),Input!$J$54,IF(AND(Input!$H$54="1st Installment",B171=1),Input!$J$54,IF(Input!$H$54="Monthly",Input!$J$54,""))),"")</f>
        <v/>
      </c>
      <c r="K171" s="6" t="str">
        <f>IF(B171&lt;&gt;"",IF(AND(Input!$H$55="Annual",MOD(B171,12)=0),Input!$J$55,IF(AND(Input!$H$55="1st Installment",B171=1),Input!$J$55,IF(Input!$H$55="Monthly",Input!$J$55,""))),"")</f>
        <v/>
      </c>
      <c r="L171" s="6">
        <f>IF(B171&lt;&gt;"",IF(AND(Input!$H$56="Annual",MOD(B171,12)=0),Input!$J$56,IF(AND(Input!$H$56="1st Installment",B171=1),Input!$J$56,IF(Input!$H$56="Monthly",Input!$J$56,""))),"")</f>
        <v>208.33333333333334</v>
      </c>
      <c r="M171" s="6" t="str">
        <f>IF(B171&lt;&gt;"",IF(AND(Input!$H$57="Annual",MOD(B171,12)=0),Input!$J$57,IF(AND(Input!$H$57="1st Installment",B171=1),Input!$J$57,IF(Input!$H$57="Monthly",Input!$J$57,""))),"")</f>
        <v/>
      </c>
      <c r="N171" s="6" t="str">
        <f>IF(B171&lt;&gt;"",IF(AND(Input!$H$58="Annual",MOD(B171,12)=0),Input!$J$58,IF(AND(Input!$H$58="1st Installment",B171=1),Input!$J$58,IF(Input!$H$58="Monthly",Input!$J$58,IF(AND(Input!$H$58="End of the loan",B171=Input!$E$58),Input!$J$58,"")))),"")</f>
        <v/>
      </c>
      <c r="O171" s="6">
        <f t="shared" si="20"/>
        <v>208.33333333333334</v>
      </c>
      <c r="P171" s="4">
        <f t="shared" si="21"/>
        <v>10525.868335503435</v>
      </c>
      <c r="T171" s="9">
        <f t="shared" si="22"/>
        <v>49978</v>
      </c>
      <c r="U171" s="5">
        <f t="shared" si="23"/>
        <v>10525.87</v>
      </c>
    </row>
    <row r="172" spans="2:21" x14ac:dyDescent="0.2">
      <c r="B172" s="181">
        <f t="shared" si="26"/>
        <v>155</v>
      </c>
      <c r="C172" s="162">
        <f t="shared" si="27"/>
        <v>50009</v>
      </c>
      <c r="D172" s="6">
        <f>IFERROR((PPMT(Input!$E$55/12,B172,$C$6,Input!$E$54,-Input!$E$65,0))," ")</f>
        <v>-6034.8619995306526</v>
      </c>
      <c r="E172" s="6">
        <f>IFERROR(((IPMT(Input!$E$55/12,B172,$C$6,Input!$E$54,-Input!$E$65,0)))," ")</f>
        <v>-4282.6730026394489</v>
      </c>
      <c r="F172" s="6">
        <f t="shared" si="29"/>
        <v>-671633.47960546869</v>
      </c>
      <c r="G172" s="6">
        <f t="shared" si="28"/>
        <v>-927584.44573089678</v>
      </c>
      <c r="H172" s="6">
        <f t="shared" si="24"/>
        <v>-10317.535002170102</v>
      </c>
      <c r="I172" s="6">
        <f t="shared" si="25"/>
        <v>928366.52039453131</v>
      </c>
      <c r="J172" s="6" t="str">
        <f>IF(B172&lt;&gt;"",IF(AND(Input!$H$54="Annual",MOD(B172,12)=0),Input!$J$54,IF(AND(Input!$H$54="1st Installment",B172=1),Input!$J$54,IF(Input!$H$54="Monthly",Input!$J$54,""))),"")</f>
        <v/>
      </c>
      <c r="K172" s="6" t="str">
        <f>IF(B172&lt;&gt;"",IF(AND(Input!$H$55="Annual",MOD(B172,12)=0),Input!$J$55,IF(AND(Input!$H$55="1st Installment",B172=1),Input!$J$55,IF(Input!$H$55="Monthly",Input!$J$55,""))),"")</f>
        <v/>
      </c>
      <c r="L172" s="6">
        <f>IF(B172&lt;&gt;"",IF(AND(Input!$H$56="Annual",MOD(B172,12)=0),Input!$J$56,IF(AND(Input!$H$56="1st Installment",B172=1),Input!$J$56,IF(Input!$H$56="Monthly",Input!$J$56,""))),"")</f>
        <v>208.33333333333334</v>
      </c>
      <c r="M172" s="6" t="str">
        <f>IF(B172&lt;&gt;"",IF(AND(Input!$H$57="Annual",MOD(B172,12)=0),Input!$J$57,IF(AND(Input!$H$57="1st Installment",B172=1),Input!$J$57,IF(Input!$H$57="Monthly",Input!$J$57,""))),"")</f>
        <v/>
      </c>
      <c r="N172" s="6" t="str">
        <f>IF(B172&lt;&gt;"",IF(AND(Input!$H$58="Annual",MOD(B172,12)=0),Input!$J$58,IF(AND(Input!$H$58="1st Installment",B172=1),Input!$J$58,IF(Input!$H$58="Monthly",Input!$J$58,IF(AND(Input!$H$58="End of the loan",B172=Input!$E$58),Input!$J$58,"")))),"")</f>
        <v/>
      </c>
      <c r="O172" s="6">
        <f t="shared" si="20"/>
        <v>208.33333333333334</v>
      </c>
      <c r="P172" s="4">
        <f t="shared" si="21"/>
        <v>10525.868335503435</v>
      </c>
      <c r="T172" s="9">
        <f t="shared" si="22"/>
        <v>50009</v>
      </c>
      <c r="U172" s="5">
        <f t="shared" si="23"/>
        <v>10525.87</v>
      </c>
    </row>
    <row r="173" spans="2:21" x14ac:dyDescent="0.2">
      <c r="B173" s="181">
        <f t="shared" si="26"/>
        <v>156</v>
      </c>
      <c r="C173" s="162">
        <f t="shared" si="27"/>
        <v>50039</v>
      </c>
      <c r="D173" s="6">
        <f>IFERROR((PPMT(Input!$E$55/12,B173,$C$6,Input!$E$54,-Input!$E$65,0))," ")</f>
        <v>-6062.521783695167</v>
      </c>
      <c r="E173" s="6">
        <f>IFERROR(((IPMT(Input!$E$55/12,B173,$C$6,Input!$E$54,-Input!$E$65,0)))," ")</f>
        <v>-4255.0132184749345</v>
      </c>
      <c r="F173" s="6">
        <f t="shared" si="29"/>
        <v>-677696.0013891639</v>
      </c>
      <c r="G173" s="6">
        <f t="shared" si="28"/>
        <v>-931839.45894937171</v>
      </c>
      <c r="H173" s="6">
        <f t="shared" si="24"/>
        <v>-10317.535002170102</v>
      </c>
      <c r="I173" s="6">
        <f t="shared" si="25"/>
        <v>922303.9986108361</v>
      </c>
      <c r="J173" s="6" t="str">
        <f>IF(B173&lt;&gt;"",IF(AND(Input!$H$54="Annual",MOD(B173,12)=0),Input!$J$54,IF(AND(Input!$H$54="1st Installment",B173=1),Input!$J$54,IF(Input!$H$54="Monthly",Input!$J$54,""))),"")</f>
        <v/>
      </c>
      <c r="K173" s="6">
        <f>IF(B173&lt;&gt;"",IF(AND(Input!$H$55="Annual",MOD(B173,12)=0),Input!$J$55,IF(AND(Input!$H$55="1st Installment",B173=1),Input!$J$55,IF(Input!$H$55="Monthly",Input!$J$55,""))),"")</f>
        <v>0</v>
      </c>
      <c r="L173" s="6">
        <f>IF(B173&lt;&gt;"",IF(AND(Input!$H$56="Annual",MOD(B173,12)=0),Input!$J$56,IF(AND(Input!$H$56="1st Installment",B173=1),Input!$J$56,IF(Input!$H$56="Monthly",Input!$J$56,""))),"")</f>
        <v>208.33333333333334</v>
      </c>
      <c r="M173" s="6" t="str">
        <f>IF(B173&lt;&gt;"",IF(AND(Input!$H$57="Annual",MOD(B173,12)=0),Input!$J$57,IF(AND(Input!$H$57="1st Installment",B173=1),Input!$J$57,IF(Input!$H$57="Monthly",Input!$J$57,""))),"")</f>
        <v/>
      </c>
      <c r="N173" s="6">
        <f>IF(B173&lt;&gt;"",IF(AND(Input!$H$58="Annual",MOD(B173,12)=0),Input!$J$58,IF(AND(Input!$H$58="1st Installment",B173=1),Input!$J$58,IF(Input!$H$58="Monthly",Input!$J$58,IF(AND(Input!$H$58="End of the loan",B173=Input!$E$58),Input!$J$58,"")))),"")</f>
        <v>0</v>
      </c>
      <c r="O173" s="6">
        <f t="shared" si="20"/>
        <v>208.33333333333334</v>
      </c>
      <c r="P173" s="4">
        <f t="shared" si="21"/>
        <v>10525.868335503435</v>
      </c>
      <c r="T173" s="9">
        <f t="shared" si="22"/>
        <v>50039</v>
      </c>
      <c r="U173" s="5">
        <f t="shared" si="23"/>
        <v>10525.87</v>
      </c>
    </row>
    <row r="174" spans="2:21" x14ac:dyDescent="0.2">
      <c r="B174" s="181">
        <f t="shared" si="26"/>
        <v>157</v>
      </c>
      <c r="C174" s="162">
        <f t="shared" si="27"/>
        <v>50070</v>
      </c>
      <c r="D174" s="6">
        <f>IFERROR((PPMT(Input!$E$55/12,B174,$C$6,Input!$E$54,-Input!$E$65,0))," ")</f>
        <v>-6090.3083418704364</v>
      </c>
      <c r="E174" s="6">
        <f>IFERROR(((IPMT(Input!$E$55/12,B174,$C$6,Input!$E$54,-Input!$E$65,0)))," ")</f>
        <v>-4227.2266602996642</v>
      </c>
      <c r="F174" s="6">
        <f t="shared" si="29"/>
        <v>-683786.30973103433</v>
      </c>
      <c r="G174" s="6">
        <f t="shared" si="28"/>
        <v>-936066.6856096714</v>
      </c>
      <c r="H174" s="6">
        <f t="shared" si="24"/>
        <v>-10317.535002170102</v>
      </c>
      <c r="I174" s="6">
        <f t="shared" si="25"/>
        <v>916213.69026896567</v>
      </c>
      <c r="J174" s="6" t="str">
        <f>IF(B174&lt;&gt;"",IF(AND(Input!$H$54="Annual",MOD(B174,12)=0),Input!$J$54,IF(AND(Input!$H$54="1st Installment",B174=1),Input!$J$54,IF(Input!$H$54="Monthly",Input!$J$54,""))),"")</f>
        <v/>
      </c>
      <c r="K174" s="6" t="str">
        <f>IF(B174&lt;&gt;"",IF(AND(Input!$H$55="Annual",MOD(B174,12)=0),Input!$J$55,IF(AND(Input!$H$55="1st Installment",B174=1),Input!$J$55,IF(Input!$H$55="Monthly",Input!$J$55,""))),"")</f>
        <v/>
      </c>
      <c r="L174" s="6">
        <f>IF(B174&lt;&gt;"",IF(AND(Input!$H$56="Annual",MOD(B174,12)=0),Input!$J$56,IF(AND(Input!$H$56="1st Installment",B174=1),Input!$J$56,IF(Input!$H$56="Monthly",Input!$J$56,""))),"")</f>
        <v>208.33333333333334</v>
      </c>
      <c r="M174" s="6" t="str">
        <f>IF(B174&lt;&gt;"",IF(AND(Input!$H$57="Annual",MOD(B174,12)=0),Input!$J$57,IF(AND(Input!$H$57="1st Installment",B174=1),Input!$J$57,IF(Input!$H$57="Monthly",Input!$J$57,""))),"")</f>
        <v/>
      </c>
      <c r="N174" s="6" t="str">
        <f>IF(B174&lt;&gt;"",IF(AND(Input!$H$58="Annual",MOD(B174,12)=0),Input!$J$58,IF(AND(Input!$H$58="1st Installment",B174=1),Input!$J$58,IF(Input!$H$58="Monthly",Input!$J$58,IF(AND(Input!$H$58="End of the loan",B174=Input!$E$58),Input!$J$58,"")))),"")</f>
        <v/>
      </c>
      <c r="O174" s="6">
        <f t="shared" si="20"/>
        <v>208.33333333333334</v>
      </c>
      <c r="P174" s="4">
        <f t="shared" si="21"/>
        <v>10525.868335503435</v>
      </c>
      <c r="T174" s="9">
        <f t="shared" si="22"/>
        <v>50070</v>
      </c>
      <c r="U174" s="5">
        <f t="shared" si="23"/>
        <v>10525.87</v>
      </c>
    </row>
    <row r="175" spans="2:21" x14ac:dyDescent="0.2">
      <c r="B175" s="181">
        <f t="shared" si="26"/>
        <v>158</v>
      </c>
      <c r="C175" s="162">
        <f t="shared" si="27"/>
        <v>50099</v>
      </c>
      <c r="D175" s="6">
        <f>IFERROR((PPMT(Input!$E$55/12,B175,$C$6,Input!$E$54,-Input!$E$65,0))," ")</f>
        <v>-6118.2222551040095</v>
      </c>
      <c r="E175" s="6">
        <f>IFERROR(((IPMT(Input!$E$55/12,B175,$C$6,Input!$E$54,-Input!$E$65,0)))," ")</f>
        <v>-4199.312747066092</v>
      </c>
      <c r="F175" s="6">
        <f t="shared" si="29"/>
        <v>-689904.53198613832</v>
      </c>
      <c r="G175" s="6">
        <f t="shared" si="28"/>
        <v>-940265.99835673755</v>
      </c>
      <c r="H175" s="6">
        <f t="shared" si="24"/>
        <v>-10317.535002170102</v>
      </c>
      <c r="I175" s="6">
        <f t="shared" si="25"/>
        <v>910095.46801386168</v>
      </c>
      <c r="J175" s="6" t="str">
        <f>IF(B175&lt;&gt;"",IF(AND(Input!$H$54="Annual",MOD(B175,12)=0),Input!$J$54,IF(AND(Input!$H$54="1st Installment",B175=1),Input!$J$54,IF(Input!$H$54="Monthly",Input!$J$54,""))),"")</f>
        <v/>
      </c>
      <c r="K175" s="6" t="str">
        <f>IF(B175&lt;&gt;"",IF(AND(Input!$H$55="Annual",MOD(B175,12)=0),Input!$J$55,IF(AND(Input!$H$55="1st Installment",B175=1),Input!$J$55,IF(Input!$H$55="Monthly",Input!$J$55,""))),"")</f>
        <v/>
      </c>
      <c r="L175" s="6">
        <f>IF(B175&lt;&gt;"",IF(AND(Input!$H$56="Annual",MOD(B175,12)=0),Input!$J$56,IF(AND(Input!$H$56="1st Installment",B175=1),Input!$J$56,IF(Input!$H$56="Monthly",Input!$J$56,""))),"")</f>
        <v>208.33333333333334</v>
      </c>
      <c r="M175" s="6" t="str">
        <f>IF(B175&lt;&gt;"",IF(AND(Input!$H$57="Annual",MOD(B175,12)=0),Input!$J$57,IF(AND(Input!$H$57="1st Installment",B175=1),Input!$J$57,IF(Input!$H$57="Monthly",Input!$J$57,""))),"")</f>
        <v/>
      </c>
      <c r="N175" s="6" t="str">
        <f>IF(B175&lt;&gt;"",IF(AND(Input!$H$58="Annual",MOD(B175,12)=0),Input!$J$58,IF(AND(Input!$H$58="1st Installment",B175=1),Input!$J$58,IF(Input!$H$58="Monthly",Input!$J$58,IF(AND(Input!$H$58="End of the loan",B175=Input!$E$58),Input!$J$58,"")))),"")</f>
        <v/>
      </c>
      <c r="O175" s="6">
        <f t="shared" si="20"/>
        <v>208.33333333333334</v>
      </c>
      <c r="P175" s="4">
        <f t="shared" si="21"/>
        <v>10525.868335503435</v>
      </c>
      <c r="T175" s="9">
        <f t="shared" si="22"/>
        <v>50099</v>
      </c>
      <c r="U175" s="5">
        <f t="shared" si="23"/>
        <v>10525.87</v>
      </c>
    </row>
    <row r="176" spans="2:21" x14ac:dyDescent="0.2">
      <c r="B176" s="181">
        <f t="shared" si="26"/>
        <v>159</v>
      </c>
      <c r="C176" s="162">
        <f t="shared" si="27"/>
        <v>50129</v>
      </c>
      <c r="D176" s="6">
        <f>IFERROR((PPMT(Input!$E$55/12,B176,$C$6,Input!$E$54,-Input!$E$65,0))," ")</f>
        <v>-6146.26410710657</v>
      </c>
      <c r="E176" s="6">
        <f>IFERROR(((IPMT(Input!$E$55/12,B176,$C$6,Input!$E$54,-Input!$E$65,0)))," ")</f>
        <v>-4171.2708950635315</v>
      </c>
      <c r="F176" s="6">
        <f t="shared" si="29"/>
        <v>-696050.79609324492</v>
      </c>
      <c r="G176" s="6">
        <f t="shared" si="28"/>
        <v>-944437.26925180107</v>
      </c>
      <c r="H176" s="6">
        <f t="shared" si="24"/>
        <v>-10317.535002170102</v>
      </c>
      <c r="I176" s="6">
        <f t="shared" si="25"/>
        <v>903949.20390675508</v>
      </c>
      <c r="J176" s="6" t="str">
        <f>IF(B176&lt;&gt;"",IF(AND(Input!$H$54="Annual",MOD(B176,12)=0),Input!$J$54,IF(AND(Input!$H$54="1st Installment",B176=1),Input!$J$54,IF(Input!$H$54="Monthly",Input!$J$54,""))),"")</f>
        <v/>
      </c>
      <c r="K176" s="6" t="str">
        <f>IF(B176&lt;&gt;"",IF(AND(Input!$H$55="Annual",MOD(B176,12)=0),Input!$J$55,IF(AND(Input!$H$55="1st Installment",B176=1),Input!$J$55,IF(Input!$H$55="Monthly",Input!$J$55,""))),"")</f>
        <v/>
      </c>
      <c r="L176" s="6">
        <f>IF(B176&lt;&gt;"",IF(AND(Input!$H$56="Annual",MOD(B176,12)=0),Input!$J$56,IF(AND(Input!$H$56="1st Installment",B176=1),Input!$J$56,IF(Input!$H$56="Monthly",Input!$J$56,""))),"")</f>
        <v>208.33333333333334</v>
      </c>
      <c r="M176" s="6" t="str">
        <f>IF(B176&lt;&gt;"",IF(AND(Input!$H$57="Annual",MOD(B176,12)=0),Input!$J$57,IF(AND(Input!$H$57="1st Installment",B176=1),Input!$J$57,IF(Input!$H$57="Monthly",Input!$J$57,""))),"")</f>
        <v/>
      </c>
      <c r="N176" s="6" t="str">
        <f>IF(B176&lt;&gt;"",IF(AND(Input!$H$58="Annual",MOD(B176,12)=0),Input!$J$58,IF(AND(Input!$H$58="1st Installment",B176=1),Input!$J$58,IF(Input!$H$58="Monthly",Input!$J$58,IF(AND(Input!$H$58="End of the loan",B176=Input!$E$58),Input!$J$58,"")))),"")</f>
        <v/>
      </c>
      <c r="O176" s="6">
        <f t="shared" si="20"/>
        <v>208.33333333333334</v>
      </c>
      <c r="P176" s="4">
        <f t="shared" si="21"/>
        <v>10525.868335503435</v>
      </c>
      <c r="T176" s="9">
        <f t="shared" si="22"/>
        <v>50129</v>
      </c>
      <c r="U176" s="5">
        <f t="shared" si="23"/>
        <v>10525.87</v>
      </c>
    </row>
    <row r="177" spans="2:21" x14ac:dyDescent="0.2">
      <c r="B177" s="181">
        <f t="shared" si="26"/>
        <v>160</v>
      </c>
      <c r="C177" s="162">
        <f t="shared" si="27"/>
        <v>50160</v>
      </c>
      <c r="D177" s="6">
        <f>IFERROR((PPMT(Input!$E$55/12,B177,$C$6,Input!$E$54,-Input!$E$65,0))," ")</f>
        <v>-6174.4344842641412</v>
      </c>
      <c r="E177" s="6">
        <f>IFERROR(((IPMT(Input!$E$55/12,B177,$C$6,Input!$E$54,-Input!$E$65,0)))," ")</f>
        <v>-4143.1005179059594</v>
      </c>
      <c r="F177" s="6">
        <f t="shared" si="29"/>
        <v>-702225.23057750904</v>
      </c>
      <c r="G177" s="6">
        <f t="shared" si="28"/>
        <v>-948580.36976970709</v>
      </c>
      <c r="H177" s="6">
        <f t="shared" si="24"/>
        <v>-10317.535002170102</v>
      </c>
      <c r="I177" s="6">
        <f t="shared" si="25"/>
        <v>897774.76942249096</v>
      </c>
      <c r="J177" s="6" t="str">
        <f>IF(B177&lt;&gt;"",IF(AND(Input!$H$54="Annual",MOD(B177,12)=0),Input!$J$54,IF(AND(Input!$H$54="1st Installment",B177=1),Input!$J$54,IF(Input!$H$54="Monthly",Input!$J$54,""))),"")</f>
        <v/>
      </c>
      <c r="K177" s="6" t="str">
        <f>IF(B177&lt;&gt;"",IF(AND(Input!$H$55="Annual",MOD(B177,12)=0),Input!$J$55,IF(AND(Input!$H$55="1st Installment",B177=1),Input!$J$55,IF(Input!$H$55="Monthly",Input!$J$55,""))),"")</f>
        <v/>
      </c>
      <c r="L177" s="6">
        <f>IF(B177&lt;&gt;"",IF(AND(Input!$H$56="Annual",MOD(B177,12)=0),Input!$J$56,IF(AND(Input!$H$56="1st Installment",B177=1),Input!$J$56,IF(Input!$H$56="Monthly",Input!$J$56,""))),"")</f>
        <v>208.33333333333334</v>
      </c>
      <c r="M177" s="6" t="str">
        <f>IF(B177&lt;&gt;"",IF(AND(Input!$H$57="Annual",MOD(B177,12)=0),Input!$J$57,IF(AND(Input!$H$57="1st Installment",B177=1),Input!$J$57,IF(Input!$H$57="Monthly",Input!$J$57,""))),"")</f>
        <v/>
      </c>
      <c r="N177" s="6" t="str">
        <f>IF(B177&lt;&gt;"",IF(AND(Input!$H$58="Annual",MOD(B177,12)=0),Input!$J$58,IF(AND(Input!$H$58="1st Installment",B177=1),Input!$J$58,IF(Input!$H$58="Monthly",Input!$J$58,IF(AND(Input!$H$58="End of the loan",B177=Input!$E$58),Input!$J$58,"")))),"")</f>
        <v/>
      </c>
      <c r="O177" s="6">
        <f t="shared" si="20"/>
        <v>208.33333333333334</v>
      </c>
      <c r="P177" s="4">
        <f t="shared" si="21"/>
        <v>10525.868335503435</v>
      </c>
      <c r="T177" s="9">
        <f t="shared" si="22"/>
        <v>50160</v>
      </c>
      <c r="U177" s="5">
        <f t="shared" si="23"/>
        <v>10525.87</v>
      </c>
    </row>
    <row r="178" spans="2:21" x14ac:dyDescent="0.2">
      <c r="B178" s="181">
        <f t="shared" si="26"/>
        <v>161</v>
      </c>
      <c r="C178" s="162">
        <f t="shared" si="27"/>
        <v>50190</v>
      </c>
      <c r="D178" s="6">
        <f>IFERROR((PPMT(Input!$E$55/12,B178,$C$6,Input!$E$54,-Input!$E$65,0))," ")</f>
        <v>-6202.7339756503516</v>
      </c>
      <c r="E178" s="6">
        <f>IFERROR(((IPMT(Input!$E$55/12,B178,$C$6,Input!$E$54,-Input!$E$65,0)))," ")</f>
        <v>-4114.801026519749</v>
      </c>
      <c r="F178" s="6">
        <f t="shared" si="29"/>
        <v>-708427.96455315943</v>
      </c>
      <c r="G178" s="6">
        <f t="shared" si="28"/>
        <v>-952695.17079622683</v>
      </c>
      <c r="H178" s="6">
        <f t="shared" si="24"/>
        <v>-10317.535002170102</v>
      </c>
      <c r="I178" s="6">
        <f t="shared" si="25"/>
        <v>891572.03544684057</v>
      </c>
      <c r="J178" s="6" t="str">
        <f>IF(B178&lt;&gt;"",IF(AND(Input!$H$54="Annual",MOD(B178,12)=0),Input!$J$54,IF(AND(Input!$H$54="1st Installment",B178=1),Input!$J$54,IF(Input!$H$54="Monthly",Input!$J$54,""))),"")</f>
        <v/>
      </c>
      <c r="K178" s="6" t="str">
        <f>IF(B178&lt;&gt;"",IF(AND(Input!$H$55="Annual",MOD(B178,12)=0),Input!$J$55,IF(AND(Input!$H$55="1st Installment",B178=1),Input!$J$55,IF(Input!$H$55="Monthly",Input!$J$55,""))),"")</f>
        <v/>
      </c>
      <c r="L178" s="6">
        <f>IF(B178&lt;&gt;"",IF(AND(Input!$H$56="Annual",MOD(B178,12)=0),Input!$J$56,IF(AND(Input!$H$56="1st Installment",B178=1),Input!$J$56,IF(Input!$H$56="Monthly",Input!$J$56,""))),"")</f>
        <v>208.33333333333334</v>
      </c>
      <c r="M178" s="6" t="str">
        <f>IF(B178&lt;&gt;"",IF(AND(Input!$H$57="Annual",MOD(B178,12)=0),Input!$J$57,IF(AND(Input!$H$57="1st Installment",B178=1),Input!$J$57,IF(Input!$H$57="Monthly",Input!$J$57,""))),"")</f>
        <v/>
      </c>
      <c r="N178" s="6" t="str">
        <f>IF(B178&lt;&gt;"",IF(AND(Input!$H$58="Annual",MOD(B178,12)=0),Input!$J$58,IF(AND(Input!$H$58="1st Installment",B178=1),Input!$J$58,IF(Input!$H$58="Monthly",Input!$J$58,IF(AND(Input!$H$58="End of the loan",B178=Input!$E$58),Input!$J$58,"")))),"")</f>
        <v/>
      </c>
      <c r="O178" s="6">
        <f t="shared" si="20"/>
        <v>208.33333333333334</v>
      </c>
      <c r="P178" s="4">
        <f t="shared" si="21"/>
        <v>10525.868335503435</v>
      </c>
      <c r="T178" s="9">
        <f t="shared" si="22"/>
        <v>50190</v>
      </c>
      <c r="U178" s="5">
        <f t="shared" si="23"/>
        <v>10525.87</v>
      </c>
    </row>
    <row r="179" spans="2:21" x14ac:dyDescent="0.2">
      <c r="B179" s="181">
        <f t="shared" si="26"/>
        <v>162</v>
      </c>
      <c r="C179" s="162">
        <f t="shared" si="27"/>
        <v>50221</v>
      </c>
      <c r="D179" s="6">
        <f>IFERROR((PPMT(Input!$E$55/12,B179,$C$6,Input!$E$54,-Input!$E$65,0))," ")</f>
        <v>-6231.1631730387498</v>
      </c>
      <c r="E179" s="6">
        <f>IFERROR(((IPMT(Input!$E$55/12,B179,$C$6,Input!$E$54,-Input!$E$65,0)))," ")</f>
        <v>-4086.3718291313517</v>
      </c>
      <c r="F179" s="6">
        <f t="shared" si="29"/>
        <v>-714659.12772619817</v>
      </c>
      <c r="G179" s="6">
        <f t="shared" si="28"/>
        <v>-956781.54262535821</v>
      </c>
      <c r="H179" s="6">
        <f t="shared" si="24"/>
        <v>-10317.535002170102</v>
      </c>
      <c r="I179" s="6">
        <f t="shared" si="25"/>
        <v>885340.87227380183</v>
      </c>
      <c r="J179" s="6" t="str">
        <f>IF(B179&lt;&gt;"",IF(AND(Input!$H$54="Annual",MOD(B179,12)=0),Input!$J$54,IF(AND(Input!$H$54="1st Installment",B179=1),Input!$J$54,IF(Input!$H$54="Monthly",Input!$J$54,""))),"")</f>
        <v/>
      </c>
      <c r="K179" s="6" t="str">
        <f>IF(B179&lt;&gt;"",IF(AND(Input!$H$55="Annual",MOD(B179,12)=0),Input!$J$55,IF(AND(Input!$H$55="1st Installment",B179=1),Input!$J$55,IF(Input!$H$55="Monthly",Input!$J$55,""))),"")</f>
        <v/>
      </c>
      <c r="L179" s="6">
        <f>IF(B179&lt;&gt;"",IF(AND(Input!$H$56="Annual",MOD(B179,12)=0),Input!$J$56,IF(AND(Input!$H$56="1st Installment",B179=1),Input!$J$56,IF(Input!$H$56="Monthly",Input!$J$56,""))),"")</f>
        <v>208.33333333333334</v>
      </c>
      <c r="M179" s="6" t="str">
        <f>IF(B179&lt;&gt;"",IF(AND(Input!$H$57="Annual",MOD(B179,12)=0),Input!$J$57,IF(AND(Input!$H$57="1st Installment",B179=1),Input!$J$57,IF(Input!$H$57="Monthly",Input!$J$57,""))),"")</f>
        <v/>
      </c>
      <c r="N179" s="6" t="str">
        <f>IF(B179&lt;&gt;"",IF(AND(Input!$H$58="Annual",MOD(B179,12)=0),Input!$J$58,IF(AND(Input!$H$58="1st Installment",B179=1),Input!$J$58,IF(Input!$H$58="Monthly",Input!$J$58,IF(AND(Input!$H$58="End of the loan",B179=Input!$E$58),Input!$J$58,"")))),"")</f>
        <v/>
      </c>
      <c r="O179" s="6">
        <f t="shared" si="20"/>
        <v>208.33333333333334</v>
      </c>
      <c r="P179" s="4">
        <f t="shared" si="21"/>
        <v>10525.868335503435</v>
      </c>
      <c r="T179" s="9">
        <f t="shared" si="22"/>
        <v>50221</v>
      </c>
      <c r="U179" s="5">
        <f t="shared" si="23"/>
        <v>10525.87</v>
      </c>
    </row>
    <row r="180" spans="2:21" x14ac:dyDescent="0.2">
      <c r="B180" s="181">
        <f t="shared" si="26"/>
        <v>163</v>
      </c>
      <c r="C180" s="162">
        <f t="shared" si="27"/>
        <v>50251</v>
      </c>
      <c r="D180" s="6">
        <f>IFERROR((PPMT(Input!$E$55/12,B180,$C$6,Input!$E$54,-Input!$E$65,0))," ")</f>
        <v>-6259.7226709151773</v>
      </c>
      <c r="E180" s="6">
        <f>IFERROR(((IPMT(Input!$E$55/12,B180,$C$6,Input!$E$54,-Input!$E$65,0)))," ")</f>
        <v>-4057.8123312549242</v>
      </c>
      <c r="F180" s="6">
        <f t="shared" si="29"/>
        <v>-720918.85039711336</v>
      </c>
      <c r="G180" s="6">
        <f t="shared" si="28"/>
        <v>-960839.35495661316</v>
      </c>
      <c r="H180" s="6">
        <f t="shared" si="24"/>
        <v>-10317.535002170102</v>
      </c>
      <c r="I180" s="6">
        <f t="shared" si="25"/>
        <v>879081.14960288664</v>
      </c>
      <c r="J180" s="6" t="str">
        <f>IF(B180&lt;&gt;"",IF(AND(Input!$H$54="Annual",MOD(B180,12)=0),Input!$J$54,IF(AND(Input!$H$54="1st Installment",B180=1),Input!$J$54,IF(Input!$H$54="Monthly",Input!$J$54,""))),"")</f>
        <v/>
      </c>
      <c r="K180" s="6" t="str">
        <f>IF(B180&lt;&gt;"",IF(AND(Input!$H$55="Annual",MOD(B180,12)=0),Input!$J$55,IF(AND(Input!$H$55="1st Installment",B180=1),Input!$J$55,IF(Input!$H$55="Monthly",Input!$J$55,""))),"")</f>
        <v/>
      </c>
      <c r="L180" s="6">
        <f>IF(B180&lt;&gt;"",IF(AND(Input!$H$56="Annual",MOD(B180,12)=0),Input!$J$56,IF(AND(Input!$H$56="1st Installment",B180=1),Input!$J$56,IF(Input!$H$56="Monthly",Input!$J$56,""))),"")</f>
        <v>208.33333333333334</v>
      </c>
      <c r="M180" s="6" t="str">
        <f>IF(B180&lt;&gt;"",IF(AND(Input!$H$57="Annual",MOD(B180,12)=0),Input!$J$57,IF(AND(Input!$H$57="1st Installment",B180=1),Input!$J$57,IF(Input!$H$57="Monthly",Input!$J$57,""))),"")</f>
        <v/>
      </c>
      <c r="N180" s="6" t="str">
        <f>IF(B180&lt;&gt;"",IF(AND(Input!$H$58="Annual",MOD(B180,12)=0),Input!$J$58,IF(AND(Input!$H$58="1st Installment",B180=1),Input!$J$58,IF(Input!$H$58="Monthly",Input!$J$58,IF(AND(Input!$H$58="End of the loan",B180=Input!$E$58),Input!$J$58,"")))),"")</f>
        <v/>
      </c>
      <c r="O180" s="6">
        <f t="shared" si="20"/>
        <v>208.33333333333334</v>
      </c>
      <c r="P180" s="4">
        <f t="shared" si="21"/>
        <v>10525.868335503435</v>
      </c>
      <c r="T180" s="9">
        <f t="shared" si="22"/>
        <v>50251</v>
      </c>
      <c r="U180" s="5">
        <f t="shared" si="23"/>
        <v>10525.87</v>
      </c>
    </row>
    <row r="181" spans="2:21" x14ac:dyDescent="0.2">
      <c r="B181" s="181">
        <f t="shared" si="26"/>
        <v>164</v>
      </c>
      <c r="C181" s="162">
        <f t="shared" si="27"/>
        <v>50282</v>
      </c>
      <c r="D181" s="6">
        <f>IFERROR((PPMT(Input!$E$55/12,B181,$C$6,Input!$E$54,-Input!$E$65,0))," ")</f>
        <v>-6288.413066490205</v>
      </c>
      <c r="E181" s="6">
        <f>IFERROR(((IPMT(Input!$E$55/12,B181,$C$6,Input!$E$54,-Input!$E$65,0)))," ")</f>
        <v>-4029.1219356798961</v>
      </c>
      <c r="F181" s="6">
        <f t="shared" si="29"/>
        <v>-727207.26346360357</v>
      </c>
      <c r="G181" s="6">
        <f t="shared" si="28"/>
        <v>-964868.47689229308</v>
      </c>
      <c r="H181" s="6">
        <f t="shared" si="24"/>
        <v>-10317.535002170102</v>
      </c>
      <c r="I181" s="6">
        <f t="shared" si="25"/>
        <v>872792.73653639643</v>
      </c>
      <c r="J181" s="6" t="str">
        <f>IF(B181&lt;&gt;"",IF(AND(Input!$H$54="Annual",MOD(B181,12)=0),Input!$J$54,IF(AND(Input!$H$54="1st Installment",B181=1),Input!$J$54,IF(Input!$H$54="Monthly",Input!$J$54,""))),"")</f>
        <v/>
      </c>
      <c r="K181" s="6" t="str">
        <f>IF(B181&lt;&gt;"",IF(AND(Input!$H$55="Annual",MOD(B181,12)=0),Input!$J$55,IF(AND(Input!$H$55="1st Installment",B181=1),Input!$J$55,IF(Input!$H$55="Monthly",Input!$J$55,""))),"")</f>
        <v/>
      </c>
      <c r="L181" s="6">
        <f>IF(B181&lt;&gt;"",IF(AND(Input!$H$56="Annual",MOD(B181,12)=0),Input!$J$56,IF(AND(Input!$H$56="1st Installment",B181=1),Input!$J$56,IF(Input!$H$56="Monthly",Input!$J$56,""))),"")</f>
        <v>208.33333333333334</v>
      </c>
      <c r="M181" s="6" t="str">
        <f>IF(B181&lt;&gt;"",IF(AND(Input!$H$57="Annual",MOD(B181,12)=0),Input!$J$57,IF(AND(Input!$H$57="1st Installment",B181=1),Input!$J$57,IF(Input!$H$57="Monthly",Input!$J$57,""))),"")</f>
        <v/>
      </c>
      <c r="N181" s="6" t="str">
        <f>IF(B181&lt;&gt;"",IF(AND(Input!$H$58="Annual",MOD(B181,12)=0),Input!$J$58,IF(AND(Input!$H$58="1st Installment",B181=1),Input!$J$58,IF(Input!$H$58="Monthly",Input!$J$58,IF(AND(Input!$H$58="End of the loan",B181=Input!$E$58),Input!$J$58,"")))),"")</f>
        <v/>
      </c>
      <c r="O181" s="6">
        <f t="shared" si="20"/>
        <v>208.33333333333334</v>
      </c>
      <c r="P181" s="4">
        <f t="shared" si="21"/>
        <v>10525.868335503435</v>
      </c>
      <c r="T181" s="9">
        <f t="shared" si="22"/>
        <v>50282</v>
      </c>
      <c r="U181" s="5">
        <f t="shared" si="23"/>
        <v>10525.87</v>
      </c>
    </row>
    <row r="182" spans="2:21" x14ac:dyDescent="0.2">
      <c r="B182" s="181">
        <f t="shared" si="26"/>
        <v>165</v>
      </c>
      <c r="C182" s="162">
        <f t="shared" si="27"/>
        <v>50313</v>
      </c>
      <c r="D182" s="6">
        <f>IFERROR((PPMT(Input!$E$55/12,B182,$C$6,Input!$E$54,-Input!$E$65,0))," ")</f>
        <v>-6317.234959711619</v>
      </c>
      <c r="E182" s="6">
        <f>IFERROR(((IPMT(Input!$E$55/12,B182,$C$6,Input!$E$54,-Input!$E$65,0)))," ")</f>
        <v>-4000.3000424584825</v>
      </c>
      <c r="F182" s="6">
        <f t="shared" si="29"/>
        <v>-733524.49842331524</v>
      </c>
      <c r="G182" s="6">
        <f t="shared" si="28"/>
        <v>-968868.77693475154</v>
      </c>
      <c r="H182" s="6">
        <f t="shared" si="24"/>
        <v>-10317.535002170102</v>
      </c>
      <c r="I182" s="6">
        <f t="shared" si="25"/>
        <v>866475.50157668476</v>
      </c>
      <c r="J182" s="6" t="str">
        <f>IF(B182&lt;&gt;"",IF(AND(Input!$H$54="Annual",MOD(B182,12)=0),Input!$J$54,IF(AND(Input!$H$54="1st Installment",B182=1),Input!$J$54,IF(Input!$H$54="Monthly",Input!$J$54,""))),"")</f>
        <v/>
      </c>
      <c r="K182" s="6" t="str">
        <f>IF(B182&lt;&gt;"",IF(AND(Input!$H$55="Annual",MOD(B182,12)=0),Input!$J$55,IF(AND(Input!$H$55="1st Installment",B182=1),Input!$J$55,IF(Input!$H$55="Monthly",Input!$J$55,""))),"")</f>
        <v/>
      </c>
      <c r="L182" s="6">
        <f>IF(B182&lt;&gt;"",IF(AND(Input!$H$56="Annual",MOD(B182,12)=0),Input!$J$56,IF(AND(Input!$H$56="1st Installment",B182=1),Input!$J$56,IF(Input!$H$56="Monthly",Input!$J$56,""))),"")</f>
        <v>208.33333333333334</v>
      </c>
      <c r="M182" s="6" t="str">
        <f>IF(B182&lt;&gt;"",IF(AND(Input!$H$57="Annual",MOD(B182,12)=0),Input!$J$57,IF(AND(Input!$H$57="1st Installment",B182=1),Input!$J$57,IF(Input!$H$57="Monthly",Input!$J$57,""))),"")</f>
        <v/>
      </c>
      <c r="N182" s="6" t="str">
        <f>IF(B182&lt;&gt;"",IF(AND(Input!$H$58="Annual",MOD(B182,12)=0),Input!$J$58,IF(AND(Input!$H$58="1st Installment",B182=1),Input!$J$58,IF(Input!$H$58="Monthly",Input!$J$58,IF(AND(Input!$H$58="End of the loan",B182=Input!$E$58),Input!$J$58,"")))),"")</f>
        <v/>
      </c>
      <c r="O182" s="6">
        <f t="shared" si="20"/>
        <v>208.33333333333334</v>
      </c>
      <c r="P182" s="4">
        <f t="shared" si="21"/>
        <v>10525.868335503435</v>
      </c>
      <c r="T182" s="9">
        <f t="shared" si="22"/>
        <v>50313</v>
      </c>
      <c r="U182" s="5">
        <f t="shared" si="23"/>
        <v>10525.87</v>
      </c>
    </row>
    <row r="183" spans="2:21" x14ac:dyDescent="0.2">
      <c r="B183" s="181">
        <f t="shared" si="26"/>
        <v>166</v>
      </c>
      <c r="C183" s="162">
        <f t="shared" si="27"/>
        <v>50343</v>
      </c>
      <c r="D183" s="6">
        <f>IFERROR((PPMT(Input!$E$55/12,B183,$C$6,Input!$E$54,-Input!$E$65,0))," ")</f>
        <v>-6346.1889532769646</v>
      </c>
      <c r="E183" s="6">
        <f>IFERROR(((IPMT(Input!$E$55/12,B183,$C$6,Input!$E$54,-Input!$E$65,0)))," ")</f>
        <v>-3971.3460488931378</v>
      </c>
      <c r="F183" s="6">
        <f t="shared" si="29"/>
        <v>-739870.68737659219</v>
      </c>
      <c r="G183" s="6">
        <f t="shared" si="28"/>
        <v>-972840.12298364472</v>
      </c>
      <c r="H183" s="6">
        <f t="shared" si="24"/>
        <v>-10317.535002170102</v>
      </c>
      <c r="I183" s="6">
        <f t="shared" si="25"/>
        <v>860129.31262340781</v>
      </c>
      <c r="J183" s="6" t="str">
        <f>IF(B183&lt;&gt;"",IF(AND(Input!$H$54="Annual",MOD(B183,12)=0),Input!$J$54,IF(AND(Input!$H$54="1st Installment",B183=1),Input!$J$54,IF(Input!$H$54="Monthly",Input!$J$54,""))),"")</f>
        <v/>
      </c>
      <c r="K183" s="6" t="str">
        <f>IF(B183&lt;&gt;"",IF(AND(Input!$H$55="Annual",MOD(B183,12)=0),Input!$J$55,IF(AND(Input!$H$55="1st Installment",B183=1),Input!$J$55,IF(Input!$H$55="Monthly",Input!$J$55,""))),"")</f>
        <v/>
      </c>
      <c r="L183" s="6">
        <f>IF(B183&lt;&gt;"",IF(AND(Input!$H$56="Annual",MOD(B183,12)=0),Input!$J$56,IF(AND(Input!$H$56="1st Installment",B183=1),Input!$J$56,IF(Input!$H$56="Monthly",Input!$J$56,""))),"")</f>
        <v>208.33333333333334</v>
      </c>
      <c r="M183" s="6" t="str">
        <f>IF(B183&lt;&gt;"",IF(AND(Input!$H$57="Annual",MOD(B183,12)=0),Input!$J$57,IF(AND(Input!$H$57="1st Installment",B183=1),Input!$J$57,IF(Input!$H$57="Monthly",Input!$J$57,""))),"")</f>
        <v/>
      </c>
      <c r="N183" s="6" t="str">
        <f>IF(B183&lt;&gt;"",IF(AND(Input!$H$58="Annual",MOD(B183,12)=0),Input!$J$58,IF(AND(Input!$H$58="1st Installment",B183=1),Input!$J$58,IF(Input!$H$58="Monthly",Input!$J$58,IF(AND(Input!$H$58="End of the loan",B183=Input!$E$58),Input!$J$58,"")))),"")</f>
        <v/>
      </c>
      <c r="O183" s="6">
        <f t="shared" si="20"/>
        <v>208.33333333333334</v>
      </c>
      <c r="P183" s="4">
        <f t="shared" si="21"/>
        <v>10525.868335503435</v>
      </c>
      <c r="T183" s="9">
        <f t="shared" si="22"/>
        <v>50343</v>
      </c>
      <c r="U183" s="5">
        <f t="shared" si="23"/>
        <v>10525.87</v>
      </c>
    </row>
    <row r="184" spans="2:21" x14ac:dyDescent="0.2">
      <c r="B184" s="181">
        <f t="shared" si="26"/>
        <v>167</v>
      </c>
      <c r="C184" s="162">
        <f t="shared" si="27"/>
        <v>50374</v>
      </c>
      <c r="D184" s="6">
        <f>IFERROR((PPMT(Input!$E$55/12,B184,$C$6,Input!$E$54,-Input!$E$65,0))," ")</f>
        <v>-6375.2756526461499</v>
      </c>
      <c r="E184" s="6">
        <f>IFERROR(((IPMT(Input!$E$55/12,B184,$C$6,Input!$E$54,-Input!$E$65,0)))," ")</f>
        <v>-3942.2593495239512</v>
      </c>
      <c r="F184" s="6">
        <f t="shared" si="29"/>
        <v>-746245.9630292384</v>
      </c>
      <c r="G184" s="6">
        <f t="shared" si="28"/>
        <v>-976782.38233316864</v>
      </c>
      <c r="H184" s="6">
        <f t="shared" si="24"/>
        <v>-10317.535002170102</v>
      </c>
      <c r="I184" s="6">
        <f t="shared" si="25"/>
        <v>853754.0369707616</v>
      </c>
      <c r="J184" s="6" t="str">
        <f>IF(B184&lt;&gt;"",IF(AND(Input!$H$54="Annual",MOD(B184,12)=0),Input!$J$54,IF(AND(Input!$H$54="1st Installment",B184=1),Input!$J$54,IF(Input!$H$54="Monthly",Input!$J$54,""))),"")</f>
        <v/>
      </c>
      <c r="K184" s="6" t="str">
        <f>IF(B184&lt;&gt;"",IF(AND(Input!$H$55="Annual",MOD(B184,12)=0),Input!$J$55,IF(AND(Input!$H$55="1st Installment",B184=1),Input!$J$55,IF(Input!$H$55="Monthly",Input!$J$55,""))),"")</f>
        <v/>
      </c>
      <c r="L184" s="6">
        <f>IF(B184&lt;&gt;"",IF(AND(Input!$H$56="Annual",MOD(B184,12)=0),Input!$J$56,IF(AND(Input!$H$56="1st Installment",B184=1),Input!$J$56,IF(Input!$H$56="Monthly",Input!$J$56,""))),"")</f>
        <v>208.33333333333334</v>
      </c>
      <c r="M184" s="6" t="str">
        <f>IF(B184&lt;&gt;"",IF(AND(Input!$H$57="Annual",MOD(B184,12)=0),Input!$J$57,IF(AND(Input!$H$57="1st Installment",B184=1),Input!$J$57,IF(Input!$H$57="Monthly",Input!$J$57,""))),"")</f>
        <v/>
      </c>
      <c r="N184" s="6" t="str">
        <f>IF(B184&lt;&gt;"",IF(AND(Input!$H$58="Annual",MOD(B184,12)=0),Input!$J$58,IF(AND(Input!$H$58="1st Installment",B184=1),Input!$J$58,IF(Input!$H$58="Monthly",Input!$J$58,IF(AND(Input!$H$58="End of the loan",B184=Input!$E$58),Input!$J$58,"")))),"")</f>
        <v/>
      </c>
      <c r="O184" s="6">
        <f t="shared" si="20"/>
        <v>208.33333333333334</v>
      </c>
      <c r="P184" s="4">
        <f t="shared" si="21"/>
        <v>10525.868335503435</v>
      </c>
      <c r="T184" s="9">
        <f t="shared" si="22"/>
        <v>50374</v>
      </c>
      <c r="U184" s="5">
        <f t="shared" si="23"/>
        <v>10525.87</v>
      </c>
    </row>
    <row r="185" spans="2:21" x14ac:dyDescent="0.2">
      <c r="B185" s="181">
        <f t="shared" si="26"/>
        <v>168</v>
      </c>
      <c r="C185" s="162">
        <f t="shared" si="27"/>
        <v>50404</v>
      </c>
      <c r="D185" s="6">
        <f>IFERROR((PPMT(Input!$E$55/12,B185,$C$6,Input!$E$54,-Input!$E$65,0))," ")</f>
        <v>-6404.495666054112</v>
      </c>
      <c r="E185" s="6">
        <f>IFERROR(((IPMT(Input!$E$55/12,B185,$C$6,Input!$E$54,-Input!$E$65,0)))," ")</f>
        <v>-3913.03933611599</v>
      </c>
      <c r="F185" s="6">
        <f t="shared" si="29"/>
        <v>-752650.45869529247</v>
      </c>
      <c r="G185" s="6">
        <f t="shared" si="28"/>
        <v>-980695.42166928458</v>
      </c>
      <c r="H185" s="6">
        <f t="shared" si="24"/>
        <v>-10317.535002170102</v>
      </c>
      <c r="I185" s="6">
        <f t="shared" si="25"/>
        <v>847349.54130470753</v>
      </c>
      <c r="J185" s="6" t="str">
        <f>IF(B185&lt;&gt;"",IF(AND(Input!$H$54="Annual",MOD(B185,12)=0),Input!$J$54,IF(AND(Input!$H$54="1st Installment",B185=1),Input!$J$54,IF(Input!$H$54="Monthly",Input!$J$54,""))),"")</f>
        <v/>
      </c>
      <c r="K185" s="6">
        <f>IF(B185&lt;&gt;"",IF(AND(Input!$H$55="Annual",MOD(B185,12)=0),Input!$J$55,IF(AND(Input!$H$55="1st Installment",B185=1),Input!$J$55,IF(Input!$H$55="Monthly",Input!$J$55,""))),"")</f>
        <v>0</v>
      </c>
      <c r="L185" s="6">
        <f>IF(B185&lt;&gt;"",IF(AND(Input!$H$56="Annual",MOD(B185,12)=0),Input!$J$56,IF(AND(Input!$H$56="1st Installment",B185=1),Input!$J$56,IF(Input!$H$56="Monthly",Input!$J$56,""))),"")</f>
        <v>208.33333333333334</v>
      </c>
      <c r="M185" s="6" t="str">
        <f>IF(B185&lt;&gt;"",IF(AND(Input!$H$57="Annual",MOD(B185,12)=0),Input!$J$57,IF(AND(Input!$H$57="1st Installment",B185=1),Input!$J$57,IF(Input!$H$57="Monthly",Input!$J$57,""))),"")</f>
        <v/>
      </c>
      <c r="N185" s="6">
        <f>IF(B185&lt;&gt;"",IF(AND(Input!$H$58="Annual",MOD(B185,12)=0),Input!$J$58,IF(AND(Input!$H$58="1st Installment",B185=1),Input!$J$58,IF(Input!$H$58="Monthly",Input!$J$58,IF(AND(Input!$H$58="End of the loan",B185=Input!$E$58),Input!$J$58,"")))),"")</f>
        <v>0</v>
      </c>
      <c r="O185" s="6">
        <f t="shared" si="20"/>
        <v>208.33333333333334</v>
      </c>
      <c r="P185" s="4">
        <f t="shared" si="21"/>
        <v>10525.868335503435</v>
      </c>
      <c r="T185" s="9">
        <f t="shared" si="22"/>
        <v>50404</v>
      </c>
      <c r="U185" s="5">
        <f t="shared" si="23"/>
        <v>10525.87</v>
      </c>
    </row>
    <row r="186" spans="2:21" x14ac:dyDescent="0.2">
      <c r="B186" s="181">
        <f t="shared" si="26"/>
        <v>169</v>
      </c>
      <c r="C186" s="162">
        <f t="shared" si="27"/>
        <v>50435</v>
      </c>
      <c r="D186" s="6">
        <f>IFERROR((PPMT(Input!$E$55/12,B186,$C$6,Input!$E$54,-Input!$E$65,0))," ")</f>
        <v>-6433.8496045235261</v>
      </c>
      <c r="E186" s="6">
        <f>IFERROR(((IPMT(Input!$E$55/12,B186,$C$6,Input!$E$54,-Input!$E$65,0)))," ")</f>
        <v>-3883.6853976465754</v>
      </c>
      <c r="F186" s="6">
        <f t="shared" si="29"/>
        <v>-759084.30829981598</v>
      </c>
      <c r="G186" s="6">
        <f t="shared" si="28"/>
        <v>-984579.1070669312</v>
      </c>
      <c r="H186" s="6">
        <f t="shared" si="24"/>
        <v>-10317.535002170102</v>
      </c>
      <c r="I186" s="6">
        <f t="shared" si="25"/>
        <v>840915.69170018402</v>
      </c>
      <c r="J186" s="6" t="str">
        <f>IF(B186&lt;&gt;"",IF(AND(Input!$H$54="Annual",MOD(B186,12)=0),Input!$J$54,IF(AND(Input!$H$54="1st Installment",B186=1),Input!$J$54,IF(Input!$H$54="Monthly",Input!$J$54,""))),"")</f>
        <v/>
      </c>
      <c r="K186" s="6" t="str">
        <f>IF(B186&lt;&gt;"",IF(AND(Input!$H$55="Annual",MOD(B186,12)=0),Input!$J$55,IF(AND(Input!$H$55="1st Installment",B186=1),Input!$J$55,IF(Input!$H$55="Monthly",Input!$J$55,""))),"")</f>
        <v/>
      </c>
      <c r="L186" s="6">
        <f>IF(B186&lt;&gt;"",IF(AND(Input!$H$56="Annual",MOD(B186,12)=0),Input!$J$56,IF(AND(Input!$H$56="1st Installment",B186=1),Input!$J$56,IF(Input!$H$56="Monthly",Input!$J$56,""))),"")</f>
        <v>208.33333333333334</v>
      </c>
      <c r="M186" s="6" t="str">
        <f>IF(B186&lt;&gt;"",IF(AND(Input!$H$57="Annual",MOD(B186,12)=0),Input!$J$57,IF(AND(Input!$H$57="1st Installment",B186=1),Input!$J$57,IF(Input!$H$57="Monthly",Input!$J$57,""))),"")</f>
        <v/>
      </c>
      <c r="N186" s="6" t="str">
        <f>IF(B186&lt;&gt;"",IF(AND(Input!$H$58="Annual",MOD(B186,12)=0),Input!$J$58,IF(AND(Input!$H$58="1st Installment",B186=1),Input!$J$58,IF(Input!$H$58="Monthly",Input!$J$58,IF(AND(Input!$H$58="End of the loan",B186=Input!$E$58),Input!$J$58,"")))),"")</f>
        <v/>
      </c>
      <c r="O186" s="6">
        <f t="shared" si="20"/>
        <v>208.33333333333334</v>
      </c>
      <c r="P186" s="4">
        <f t="shared" si="21"/>
        <v>10525.868335503435</v>
      </c>
      <c r="T186" s="9">
        <f t="shared" si="22"/>
        <v>50435</v>
      </c>
      <c r="U186" s="5">
        <f t="shared" si="23"/>
        <v>10525.87</v>
      </c>
    </row>
    <row r="187" spans="2:21" x14ac:dyDescent="0.2">
      <c r="B187" s="181">
        <f t="shared" si="26"/>
        <v>170</v>
      </c>
      <c r="C187" s="162">
        <f t="shared" si="27"/>
        <v>50464</v>
      </c>
      <c r="D187" s="6">
        <f>IFERROR((PPMT(Input!$E$55/12,B187,$C$6,Input!$E$54,-Input!$E$65,0))," ")</f>
        <v>-6463.3380818775922</v>
      </c>
      <c r="E187" s="6">
        <f>IFERROR(((IPMT(Input!$E$55/12,B187,$C$6,Input!$E$54,-Input!$E$65,0)))," ")</f>
        <v>-3854.1969202925097</v>
      </c>
      <c r="F187" s="6">
        <f t="shared" si="29"/>
        <v>-765547.64638169354</v>
      </c>
      <c r="G187" s="6">
        <f t="shared" si="28"/>
        <v>-988433.30398722365</v>
      </c>
      <c r="H187" s="6">
        <f t="shared" si="24"/>
        <v>-10317.535002170102</v>
      </c>
      <c r="I187" s="6">
        <f t="shared" si="25"/>
        <v>834452.35361830646</v>
      </c>
      <c r="J187" s="6" t="str">
        <f>IF(B187&lt;&gt;"",IF(AND(Input!$H$54="Annual",MOD(B187,12)=0),Input!$J$54,IF(AND(Input!$H$54="1st Installment",B187=1),Input!$J$54,IF(Input!$H$54="Monthly",Input!$J$54,""))),"")</f>
        <v/>
      </c>
      <c r="K187" s="6" t="str">
        <f>IF(B187&lt;&gt;"",IF(AND(Input!$H$55="Annual",MOD(B187,12)=0),Input!$J$55,IF(AND(Input!$H$55="1st Installment",B187=1),Input!$J$55,IF(Input!$H$55="Monthly",Input!$J$55,""))),"")</f>
        <v/>
      </c>
      <c r="L187" s="6">
        <f>IF(B187&lt;&gt;"",IF(AND(Input!$H$56="Annual",MOD(B187,12)=0),Input!$J$56,IF(AND(Input!$H$56="1st Installment",B187=1),Input!$J$56,IF(Input!$H$56="Monthly",Input!$J$56,""))),"")</f>
        <v>208.33333333333334</v>
      </c>
      <c r="M187" s="6" t="str">
        <f>IF(B187&lt;&gt;"",IF(AND(Input!$H$57="Annual",MOD(B187,12)=0),Input!$J$57,IF(AND(Input!$H$57="1st Installment",B187=1),Input!$J$57,IF(Input!$H$57="Monthly",Input!$J$57,""))),"")</f>
        <v/>
      </c>
      <c r="N187" s="6" t="str">
        <f>IF(B187&lt;&gt;"",IF(AND(Input!$H$58="Annual",MOD(B187,12)=0),Input!$J$58,IF(AND(Input!$H$58="1st Installment",B187=1),Input!$J$58,IF(Input!$H$58="Monthly",Input!$J$58,IF(AND(Input!$H$58="End of the loan",B187=Input!$E$58),Input!$J$58,"")))),"")</f>
        <v/>
      </c>
      <c r="O187" s="6">
        <f t="shared" si="20"/>
        <v>208.33333333333334</v>
      </c>
      <c r="P187" s="4">
        <f t="shared" si="21"/>
        <v>10525.868335503435</v>
      </c>
      <c r="T187" s="9">
        <f t="shared" si="22"/>
        <v>50464</v>
      </c>
      <c r="U187" s="5">
        <f t="shared" si="23"/>
        <v>10525.87</v>
      </c>
    </row>
    <row r="188" spans="2:21" x14ac:dyDescent="0.2">
      <c r="B188" s="181">
        <f t="shared" si="26"/>
        <v>171</v>
      </c>
      <c r="C188" s="162">
        <f t="shared" si="27"/>
        <v>50494</v>
      </c>
      <c r="D188" s="6">
        <f>IFERROR((PPMT(Input!$E$55/12,B188,$C$6,Input!$E$54,-Input!$E$65,0))," ")</f>
        <v>-6492.9617147528643</v>
      </c>
      <c r="E188" s="6">
        <f>IFERROR(((IPMT(Input!$E$55/12,B188,$C$6,Input!$E$54,-Input!$E$65,0)))," ")</f>
        <v>-3824.5732874172368</v>
      </c>
      <c r="F188" s="6">
        <f t="shared" si="29"/>
        <v>-772040.60809644638</v>
      </c>
      <c r="G188" s="6">
        <f t="shared" si="28"/>
        <v>-992257.87727464084</v>
      </c>
      <c r="H188" s="6">
        <f t="shared" si="24"/>
        <v>-10317.535002170102</v>
      </c>
      <c r="I188" s="6">
        <f t="shared" si="25"/>
        <v>827959.39190355362</v>
      </c>
      <c r="J188" s="6" t="str">
        <f>IF(B188&lt;&gt;"",IF(AND(Input!$H$54="Annual",MOD(B188,12)=0),Input!$J$54,IF(AND(Input!$H$54="1st Installment",B188=1),Input!$J$54,IF(Input!$H$54="Monthly",Input!$J$54,""))),"")</f>
        <v/>
      </c>
      <c r="K188" s="6" t="str">
        <f>IF(B188&lt;&gt;"",IF(AND(Input!$H$55="Annual",MOD(B188,12)=0),Input!$J$55,IF(AND(Input!$H$55="1st Installment",B188=1),Input!$J$55,IF(Input!$H$55="Monthly",Input!$J$55,""))),"")</f>
        <v/>
      </c>
      <c r="L188" s="6">
        <f>IF(B188&lt;&gt;"",IF(AND(Input!$H$56="Annual",MOD(B188,12)=0),Input!$J$56,IF(AND(Input!$H$56="1st Installment",B188=1),Input!$J$56,IF(Input!$H$56="Monthly",Input!$J$56,""))),"")</f>
        <v>208.33333333333334</v>
      </c>
      <c r="M188" s="6" t="str">
        <f>IF(B188&lt;&gt;"",IF(AND(Input!$H$57="Annual",MOD(B188,12)=0),Input!$J$57,IF(AND(Input!$H$57="1st Installment",B188=1),Input!$J$57,IF(Input!$H$57="Monthly",Input!$J$57,""))),"")</f>
        <v/>
      </c>
      <c r="N188" s="6" t="str">
        <f>IF(B188&lt;&gt;"",IF(AND(Input!$H$58="Annual",MOD(B188,12)=0),Input!$J$58,IF(AND(Input!$H$58="1st Installment",B188=1),Input!$J$58,IF(Input!$H$58="Monthly",Input!$J$58,IF(AND(Input!$H$58="End of the loan",B188=Input!$E$58),Input!$J$58,"")))),"")</f>
        <v/>
      </c>
      <c r="O188" s="6">
        <f t="shared" si="20"/>
        <v>208.33333333333334</v>
      </c>
      <c r="P188" s="4">
        <f t="shared" si="21"/>
        <v>10525.868335503435</v>
      </c>
      <c r="T188" s="9">
        <f t="shared" si="22"/>
        <v>50494</v>
      </c>
      <c r="U188" s="5">
        <f t="shared" si="23"/>
        <v>10525.87</v>
      </c>
    </row>
    <row r="189" spans="2:21" x14ac:dyDescent="0.2">
      <c r="B189" s="181">
        <f t="shared" si="26"/>
        <v>172</v>
      </c>
      <c r="C189" s="162">
        <f t="shared" si="27"/>
        <v>50525</v>
      </c>
      <c r="D189" s="6">
        <f>IFERROR((PPMT(Input!$E$55/12,B189,$C$6,Input!$E$54,-Input!$E$65,0))," ")</f>
        <v>-6522.7211226121481</v>
      </c>
      <c r="E189" s="6">
        <f>IFERROR(((IPMT(Input!$E$55/12,B189,$C$6,Input!$E$54,-Input!$E$65,0)))," ")</f>
        <v>-3794.8138795579525</v>
      </c>
      <c r="F189" s="6">
        <f t="shared" si="29"/>
        <v>-778563.32921905851</v>
      </c>
      <c r="G189" s="6">
        <f t="shared" si="28"/>
        <v>-996052.69115419884</v>
      </c>
      <c r="H189" s="6">
        <f t="shared" si="24"/>
        <v>-10317.535002170102</v>
      </c>
      <c r="I189" s="6">
        <f t="shared" si="25"/>
        <v>821436.67078094149</v>
      </c>
      <c r="J189" s="6" t="str">
        <f>IF(B189&lt;&gt;"",IF(AND(Input!$H$54="Annual",MOD(B189,12)=0),Input!$J$54,IF(AND(Input!$H$54="1st Installment",B189=1),Input!$J$54,IF(Input!$H$54="Monthly",Input!$J$54,""))),"")</f>
        <v/>
      </c>
      <c r="K189" s="6" t="str">
        <f>IF(B189&lt;&gt;"",IF(AND(Input!$H$55="Annual",MOD(B189,12)=0),Input!$J$55,IF(AND(Input!$H$55="1st Installment",B189=1),Input!$J$55,IF(Input!$H$55="Monthly",Input!$J$55,""))),"")</f>
        <v/>
      </c>
      <c r="L189" s="6">
        <f>IF(B189&lt;&gt;"",IF(AND(Input!$H$56="Annual",MOD(B189,12)=0),Input!$J$56,IF(AND(Input!$H$56="1st Installment",B189=1),Input!$J$56,IF(Input!$H$56="Monthly",Input!$J$56,""))),"")</f>
        <v>208.33333333333334</v>
      </c>
      <c r="M189" s="6" t="str">
        <f>IF(B189&lt;&gt;"",IF(AND(Input!$H$57="Annual",MOD(B189,12)=0),Input!$J$57,IF(AND(Input!$H$57="1st Installment",B189=1),Input!$J$57,IF(Input!$H$57="Monthly",Input!$J$57,""))),"")</f>
        <v/>
      </c>
      <c r="N189" s="6" t="str">
        <f>IF(B189&lt;&gt;"",IF(AND(Input!$H$58="Annual",MOD(B189,12)=0),Input!$J$58,IF(AND(Input!$H$58="1st Installment",B189=1),Input!$J$58,IF(Input!$H$58="Monthly",Input!$J$58,IF(AND(Input!$H$58="End of the loan",B189=Input!$E$58),Input!$J$58,"")))),"")</f>
        <v/>
      </c>
      <c r="O189" s="6">
        <f t="shared" si="20"/>
        <v>208.33333333333334</v>
      </c>
      <c r="P189" s="4">
        <f t="shared" si="21"/>
        <v>10525.868335503435</v>
      </c>
      <c r="T189" s="9">
        <f t="shared" si="22"/>
        <v>50525</v>
      </c>
      <c r="U189" s="5">
        <f t="shared" si="23"/>
        <v>10525.87</v>
      </c>
    </row>
    <row r="190" spans="2:21" x14ac:dyDescent="0.2">
      <c r="B190" s="181">
        <f t="shared" si="26"/>
        <v>173</v>
      </c>
      <c r="C190" s="162">
        <f t="shared" si="27"/>
        <v>50555</v>
      </c>
      <c r="D190" s="6">
        <f>IFERROR((PPMT(Input!$E$55/12,B190,$C$6,Input!$E$54,-Input!$E$65,0))," ")</f>
        <v>-6552.6169277574545</v>
      </c>
      <c r="E190" s="6">
        <f>IFERROR(((IPMT(Input!$E$55/12,B190,$C$6,Input!$E$54,-Input!$E$65,0)))," ")</f>
        <v>-3764.918074412647</v>
      </c>
      <c r="F190" s="6">
        <f t="shared" si="29"/>
        <v>-785115.94614681602</v>
      </c>
      <c r="G190" s="6">
        <f t="shared" si="28"/>
        <v>-999817.60922861146</v>
      </c>
      <c r="H190" s="6">
        <f t="shared" si="24"/>
        <v>-10317.535002170102</v>
      </c>
      <c r="I190" s="6">
        <f t="shared" si="25"/>
        <v>814884.05385318398</v>
      </c>
      <c r="J190" s="6" t="str">
        <f>IF(B190&lt;&gt;"",IF(AND(Input!$H$54="Annual",MOD(B190,12)=0),Input!$J$54,IF(AND(Input!$H$54="1st Installment",B190=1),Input!$J$54,IF(Input!$H$54="Monthly",Input!$J$54,""))),"")</f>
        <v/>
      </c>
      <c r="K190" s="6" t="str">
        <f>IF(B190&lt;&gt;"",IF(AND(Input!$H$55="Annual",MOD(B190,12)=0),Input!$J$55,IF(AND(Input!$H$55="1st Installment",B190=1),Input!$J$55,IF(Input!$H$55="Monthly",Input!$J$55,""))),"")</f>
        <v/>
      </c>
      <c r="L190" s="6">
        <f>IF(B190&lt;&gt;"",IF(AND(Input!$H$56="Annual",MOD(B190,12)=0),Input!$J$56,IF(AND(Input!$H$56="1st Installment",B190=1),Input!$J$56,IF(Input!$H$56="Monthly",Input!$J$56,""))),"")</f>
        <v>208.33333333333334</v>
      </c>
      <c r="M190" s="6" t="str">
        <f>IF(B190&lt;&gt;"",IF(AND(Input!$H$57="Annual",MOD(B190,12)=0),Input!$J$57,IF(AND(Input!$H$57="1st Installment",B190=1),Input!$J$57,IF(Input!$H$57="Monthly",Input!$J$57,""))),"")</f>
        <v/>
      </c>
      <c r="N190" s="6" t="str">
        <f>IF(B190&lt;&gt;"",IF(AND(Input!$H$58="Annual",MOD(B190,12)=0),Input!$J$58,IF(AND(Input!$H$58="1st Installment",B190=1),Input!$J$58,IF(Input!$H$58="Monthly",Input!$J$58,IF(AND(Input!$H$58="End of the loan",B190=Input!$E$58),Input!$J$58,"")))),"")</f>
        <v/>
      </c>
      <c r="O190" s="6">
        <f t="shared" si="20"/>
        <v>208.33333333333334</v>
      </c>
      <c r="P190" s="4">
        <f t="shared" si="21"/>
        <v>10525.868335503435</v>
      </c>
      <c r="T190" s="9">
        <f t="shared" si="22"/>
        <v>50555</v>
      </c>
      <c r="U190" s="5">
        <f t="shared" si="23"/>
        <v>10525.87</v>
      </c>
    </row>
    <row r="191" spans="2:21" x14ac:dyDescent="0.2">
      <c r="B191" s="181">
        <f t="shared" si="26"/>
        <v>174</v>
      </c>
      <c r="C191" s="162">
        <f t="shared" si="27"/>
        <v>50586</v>
      </c>
      <c r="D191" s="6">
        <f>IFERROR((PPMT(Input!$E$55/12,B191,$C$6,Input!$E$54,-Input!$E$65,0))," ")</f>
        <v>-6582.649755343009</v>
      </c>
      <c r="E191" s="6">
        <f>IFERROR(((IPMT(Input!$E$55/12,B191,$C$6,Input!$E$54,-Input!$E$65,0)))," ")</f>
        <v>-3734.885246827092</v>
      </c>
      <c r="F191" s="6">
        <f t="shared" si="29"/>
        <v>-791698.595902159</v>
      </c>
      <c r="G191" s="6">
        <f t="shared" si="28"/>
        <v>-1003552.4944754385</v>
      </c>
      <c r="H191" s="6">
        <f t="shared" si="24"/>
        <v>-10317.535002170102</v>
      </c>
      <c r="I191" s="6">
        <f t="shared" si="25"/>
        <v>808301.404097841</v>
      </c>
      <c r="J191" s="6" t="str">
        <f>IF(B191&lt;&gt;"",IF(AND(Input!$H$54="Annual",MOD(B191,12)=0),Input!$J$54,IF(AND(Input!$H$54="1st Installment",B191=1),Input!$J$54,IF(Input!$H$54="Monthly",Input!$J$54,""))),"")</f>
        <v/>
      </c>
      <c r="K191" s="6" t="str">
        <f>IF(B191&lt;&gt;"",IF(AND(Input!$H$55="Annual",MOD(B191,12)=0),Input!$J$55,IF(AND(Input!$H$55="1st Installment",B191=1),Input!$J$55,IF(Input!$H$55="Monthly",Input!$J$55,""))),"")</f>
        <v/>
      </c>
      <c r="L191" s="6">
        <f>IF(B191&lt;&gt;"",IF(AND(Input!$H$56="Annual",MOD(B191,12)=0),Input!$J$56,IF(AND(Input!$H$56="1st Installment",B191=1),Input!$J$56,IF(Input!$H$56="Monthly",Input!$J$56,""))),"")</f>
        <v>208.33333333333334</v>
      </c>
      <c r="M191" s="6" t="str">
        <f>IF(B191&lt;&gt;"",IF(AND(Input!$H$57="Annual",MOD(B191,12)=0),Input!$J$57,IF(AND(Input!$H$57="1st Installment",B191=1),Input!$J$57,IF(Input!$H$57="Monthly",Input!$J$57,""))),"")</f>
        <v/>
      </c>
      <c r="N191" s="6" t="str">
        <f>IF(B191&lt;&gt;"",IF(AND(Input!$H$58="Annual",MOD(B191,12)=0),Input!$J$58,IF(AND(Input!$H$58="1st Installment",B191=1),Input!$J$58,IF(Input!$H$58="Monthly",Input!$J$58,IF(AND(Input!$H$58="End of the loan",B191=Input!$E$58),Input!$J$58,"")))),"")</f>
        <v/>
      </c>
      <c r="O191" s="6">
        <f t="shared" si="20"/>
        <v>208.33333333333334</v>
      </c>
      <c r="P191" s="4">
        <f t="shared" si="21"/>
        <v>10525.868335503435</v>
      </c>
      <c r="T191" s="9">
        <f t="shared" si="22"/>
        <v>50586</v>
      </c>
      <c r="U191" s="5">
        <f t="shared" si="23"/>
        <v>10525.87</v>
      </c>
    </row>
    <row r="192" spans="2:21" x14ac:dyDescent="0.2">
      <c r="B192" s="181">
        <f t="shared" si="26"/>
        <v>175</v>
      </c>
      <c r="C192" s="162">
        <f t="shared" si="27"/>
        <v>50616</v>
      </c>
      <c r="D192" s="6">
        <f>IFERROR((PPMT(Input!$E$55/12,B192,$C$6,Input!$E$54,-Input!$E$65,0))," ")</f>
        <v>-6612.820233388331</v>
      </c>
      <c r="E192" s="6">
        <f>IFERROR(((IPMT(Input!$E$55/12,B192,$C$6,Input!$E$54,-Input!$E$65,0)))," ")</f>
        <v>-3704.7147687817696</v>
      </c>
      <c r="F192" s="6">
        <f t="shared" si="29"/>
        <v>-798311.41613554733</v>
      </c>
      <c r="G192" s="6">
        <f t="shared" si="28"/>
        <v>-1007257.2092442203</v>
      </c>
      <c r="H192" s="6">
        <f t="shared" si="24"/>
        <v>-10317.535002170102</v>
      </c>
      <c r="I192" s="6">
        <f t="shared" si="25"/>
        <v>801688.58386445267</v>
      </c>
      <c r="J192" s="6" t="str">
        <f>IF(B192&lt;&gt;"",IF(AND(Input!$H$54="Annual",MOD(B192,12)=0),Input!$J$54,IF(AND(Input!$H$54="1st Installment",B192=1),Input!$J$54,IF(Input!$H$54="Monthly",Input!$J$54,""))),"")</f>
        <v/>
      </c>
      <c r="K192" s="6" t="str">
        <f>IF(B192&lt;&gt;"",IF(AND(Input!$H$55="Annual",MOD(B192,12)=0),Input!$J$55,IF(AND(Input!$H$55="1st Installment",B192=1),Input!$J$55,IF(Input!$H$55="Monthly",Input!$J$55,""))),"")</f>
        <v/>
      </c>
      <c r="L192" s="6">
        <f>IF(B192&lt;&gt;"",IF(AND(Input!$H$56="Annual",MOD(B192,12)=0),Input!$J$56,IF(AND(Input!$H$56="1st Installment",B192=1),Input!$J$56,IF(Input!$H$56="Monthly",Input!$J$56,""))),"")</f>
        <v>208.33333333333334</v>
      </c>
      <c r="M192" s="6" t="str">
        <f>IF(B192&lt;&gt;"",IF(AND(Input!$H$57="Annual",MOD(B192,12)=0),Input!$J$57,IF(AND(Input!$H$57="1st Installment",B192=1),Input!$J$57,IF(Input!$H$57="Monthly",Input!$J$57,""))),"")</f>
        <v/>
      </c>
      <c r="N192" s="6" t="str">
        <f>IF(B192&lt;&gt;"",IF(AND(Input!$H$58="Annual",MOD(B192,12)=0),Input!$J$58,IF(AND(Input!$H$58="1st Installment",B192=1),Input!$J$58,IF(Input!$H$58="Monthly",Input!$J$58,IF(AND(Input!$H$58="End of the loan",B192=Input!$E$58),Input!$J$58,"")))),"")</f>
        <v/>
      </c>
      <c r="O192" s="6">
        <f t="shared" si="20"/>
        <v>208.33333333333334</v>
      </c>
      <c r="P192" s="4">
        <f t="shared" si="21"/>
        <v>10525.868335503435</v>
      </c>
      <c r="T192" s="9">
        <f t="shared" si="22"/>
        <v>50616</v>
      </c>
      <c r="U192" s="5">
        <f t="shared" si="23"/>
        <v>10525.87</v>
      </c>
    </row>
    <row r="193" spans="2:21" x14ac:dyDescent="0.2">
      <c r="B193" s="181">
        <f t="shared" si="26"/>
        <v>176</v>
      </c>
      <c r="C193" s="162">
        <f t="shared" si="27"/>
        <v>50647</v>
      </c>
      <c r="D193" s="6">
        <f>IFERROR((PPMT(Input!$E$55/12,B193,$C$6,Input!$E$54,-Input!$E$65,0))," ")</f>
        <v>-6643.1289927913613</v>
      </c>
      <c r="E193" s="6">
        <f>IFERROR(((IPMT(Input!$E$55/12,B193,$C$6,Input!$E$54,-Input!$E$65,0)))," ")</f>
        <v>-3674.4060093787402</v>
      </c>
      <c r="F193" s="6">
        <f t="shared" si="29"/>
        <v>-804954.54512833874</v>
      </c>
      <c r="G193" s="6">
        <f t="shared" si="28"/>
        <v>-1010931.615253599</v>
      </c>
      <c r="H193" s="6">
        <f t="shared" si="24"/>
        <v>-10317.535002170102</v>
      </c>
      <c r="I193" s="6">
        <f t="shared" si="25"/>
        <v>795045.45487166126</v>
      </c>
      <c r="J193" s="6" t="str">
        <f>IF(B193&lt;&gt;"",IF(AND(Input!$H$54="Annual",MOD(B193,12)=0),Input!$J$54,IF(AND(Input!$H$54="1st Installment",B193=1),Input!$J$54,IF(Input!$H$54="Monthly",Input!$J$54,""))),"")</f>
        <v/>
      </c>
      <c r="K193" s="6" t="str">
        <f>IF(B193&lt;&gt;"",IF(AND(Input!$H$55="Annual",MOD(B193,12)=0),Input!$J$55,IF(AND(Input!$H$55="1st Installment",B193=1),Input!$J$55,IF(Input!$H$55="Monthly",Input!$J$55,""))),"")</f>
        <v/>
      </c>
      <c r="L193" s="6">
        <f>IF(B193&lt;&gt;"",IF(AND(Input!$H$56="Annual",MOD(B193,12)=0),Input!$J$56,IF(AND(Input!$H$56="1st Installment",B193=1),Input!$J$56,IF(Input!$H$56="Monthly",Input!$J$56,""))),"")</f>
        <v>208.33333333333334</v>
      </c>
      <c r="M193" s="6" t="str">
        <f>IF(B193&lt;&gt;"",IF(AND(Input!$H$57="Annual",MOD(B193,12)=0),Input!$J$57,IF(AND(Input!$H$57="1st Installment",B193=1),Input!$J$57,IF(Input!$H$57="Monthly",Input!$J$57,""))),"")</f>
        <v/>
      </c>
      <c r="N193" s="6" t="str">
        <f>IF(B193&lt;&gt;"",IF(AND(Input!$H$58="Annual",MOD(B193,12)=0),Input!$J$58,IF(AND(Input!$H$58="1st Installment",B193=1),Input!$J$58,IF(Input!$H$58="Monthly",Input!$J$58,IF(AND(Input!$H$58="End of the loan",B193=Input!$E$58),Input!$J$58,"")))),"")</f>
        <v/>
      </c>
      <c r="O193" s="6">
        <f t="shared" si="20"/>
        <v>208.33333333333334</v>
      </c>
      <c r="P193" s="4">
        <f t="shared" si="21"/>
        <v>10525.868335503435</v>
      </c>
      <c r="T193" s="9">
        <f t="shared" si="22"/>
        <v>50647</v>
      </c>
      <c r="U193" s="5">
        <f t="shared" si="23"/>
        <v>10525.87</v>
      </c>
    </row>
    <row r="194" spans="2:21" x14ac:dyDescent="0.2">
      <c r="B194" s="181">
        <f t="shared" si="26"/>
        <v>177</v>
      </c>
      <c r="C194" s="162">
        <f t="shared" si="27"/>
        <v>50678</v>
      </c>
      <c r="D194" s="6">
        <f>IFERROR((PPMT(Input!$E$55/12,B194,$C$6,Input!$E$54,-Input!$E$65,0))," ")</f>
        <v>-6673.5766673416538</v>
      </c>
      <c r="E194" s="6">
        <f>IFERROR(((IPMT(Input!$E$55/12,B194,$C$6,Input!$E$54,-Input!$E$65,0)))," ")</f>
        <v>-3643.9583348284464</v>
      </c>
      <c r="F194" s="6">
        <f t="shared" si="29"/>
        <v>-811628.12179568037</v>
      </c>
      <c r="G194" s="6">
        <f t="shared" si="28"/>
        <v>-1014575.5735884275</v>
      </c>
      <c r="H194" s="6">
        <f t="shared" si="24"/>
        <v>-10317.5350021701</v>
      </c>
      <c r="I194" s="6">
        <f t="shared" si="25"/>
        <v>788371.87820431963</v>
      </c>
      <c r="J194" s="6" t="str">
        <f>IF(B194&lt;&gt;"",IF(AND(Input!$H$54="Annual",MOD(B194,12)=0),Input!$J$54,IF(AND(Input!$H$54="1st Installment",B194=1),Input!$J$54,IF(Input!$H$54="Monthly",Input!$J$54,""))),"")</f>
        <v/>
      </c>
      <c r="K194" s="6" t="str">
        <f>IF(B194&lt;&gt;"",IF(AND(Input!$H$55="Annual",MOD(B194,12)=0),Input!$J$55,IF(AND(Input!$H$55="1st Installment",B194=1),Input!$J$55,IF(Input!$H$55="Monthly",Input!$J$55,""))),"")</f>
        <v/>
      </c>
      <c r="L194" s="6">
        <f>IF(B194&lt;&gt;"",IF(AND(Input!$H$56="Annual",MOD(B194,12)=0),Input!$J$56,IF(AND(Input!$H$56="1st Installment",B194=1),Input!$J$56,IF(Input!$H$56="Monthly",Input!$J$56,""))),"")</f>
        <v>208.33333333333334</v>
      </c>
      <c r="M194" s="6" t="str">
        <f>IF(B194&lt;&gt;"",IF(AND(Input!$H$57="Annual",MOD(B194,12)=0),Input!$J$57,IF(AND(Input!$H$57="1st Installment",B194=1),Input!$J$57,IF(Input!$H$57="Monthly",Input!$J$57,""))),"")</f>
        <v/>
      </c>
      <c r="N194" s="6" t="str">
        <f>IF(B194&lt;&gt;"",IF(AND(Input!$H$58="Annual",MOD(B194,12)=0),Input!$J$58,IF(AND(Input!$H$58="1st Installment",B194=1),Input!$J$58,IF(Input!$H$58="Monthly",Input!$J$58,IF(AND(Input!$H$58="End of the loan",B194=Input!$E$58),Input!$J$58,"")))),"")</f>
        <v/>
      </c>
      <c r="O194" s="6">
        <f t="shared" si="20"/>
        <v>208.33333333333334</v>
      </c>
      <c r="P194" s="4">
        <f t="shared" si="21"/>
        <v>10525.868335503434</v>
      </c>
      <c r="T194" s="9">
        <f t="shared" si="22"/>
        <v>50678</v>
      </c>
      <c r="U194" s="5">
        <f t="shared" si="23"/>
        <v>10525.87</v>
      </c>
    </row>
    <row r="195" spans="2:21" x14ac:dyDescent="0.2">
      <c r="B195" s="181">
        <f t="shared" si="26"/>
        <v>178</v>
      </c>
      <c r="C195" s="162">
        <f t="shared" si="27"/>
        <v>50708</v>
      </c>
      <c r="D195" s="6">
        <f>IFERROR((PPMT(Input!$E$55/12,B195,$C$6,Input!$E$54,-Input!$E$65,0))," ")</f>
        <v>-6704.1638937336375</v>
      </c>
      <c r="E195" s="6">
        <f>IFERROR(((IPMT(Input!$E$55/12,B195,$C$6,Input!$E$54,-Input!$E$65,0)))," ")</f>
        <v>-3613.3711084364641</v>
      </c>
      <c r="F195" s="6">
        <f t="shared" si="29"/>
        <v>-818332.28568941401</v>
      </c>
      <c r="G195" s="6">
        <f t="shared" si="28"/>
        <v>-1018188.944696864</v>
      </c>
      <c r="H195" s="6">
        <f t="shared" si="24"/>
        <v>-10317.535002170102</v>
      </c>
      <c r="I195" s="6">
        <f t="shared" si="25"/>
        <v>781667.71431058599</v>
      </c>
      <c r="J195" s="6" t="str">
        <f>IF(B195&lt;&gt;"",IF(AND(Input!$H$54="Annual",MOD(B195,12)=0),Input!$J$54,IF(AND(Input!$H$54="1st Installment",B195=1),Input!$J$54,IF(Input!$H$54="Monthly",Input!$J$54,""))),"")</f>
        <v/>
      </c>
      <c r="K195" s="6" t="str">
        <f>IF(B195&lt;&gt;"",IF(AND(Input!$H$55="Annual",MOD(B195,12)=0),Input!$J$55,IF(AND(Input!$H$55="1st Installment",B195=1),Input!$J$55,IF(Input!$H$55="Monthly",Input!$J$55,""))),"")</f>
        <v/>
      </c>
      <c r="L195" s="6">
        <f>IF(B195&lt;&gt;"",IF(AND(Input!$H$56="Annual",MOD(B195,12)=0),Input!$J$56,IF(AND(Input!$H$56="1st Installment",B195=1),Input!$J$56,IF(Input!$H$56="Monthly",Input!$J$56,""))),"")</f>
        <v>208.33333333333334</v>
      </c>
      <c r="M195" s="6" t="str">
        <f>IF(B195&lt;&gt;"",IF(AND(Input!$H$57="Annual",MOD(B195,12)=0),Input!$J$57,IF(AND(Input!$H$57="1st Installment",B195=1),Input!$J$57,IF(Input!$H$57="Monthly",Input!$J$57,""))),"")</f>
        <v/>
      </c>
      <c r="N195" s="6" t="str">
        <f>IF(B195&lt;&gt;"",IF(AND(Input!$H$58="Annual",MOD(B195,12)=0),Input!$J$58,IF(AND(Input!$H$58="1st Installment",B195=1),Input!$J$58,IF(Input!$H$58="Monthly",Input!$J$58,IF(AND(Input!$H$58="End of the loan",B195=Input!$E$58),Input!$J$58,"")))),"")</f>
        <v/>
      </c>
      <c r="O195" s="6">
        <f t="shared" si="20"/>
        <v>208.33333333333334</v>
      </c>
      <c r="P195" s="4">
        <f t="shared" si="21"/>
        <v>10525.868335503435</v>
      </c>
      <c r="T195" s="9">
        <f t="shared" si="22"/>
        <v>50708</v>
      </c>
      <c r="U195" s="5">
        <f t="shared" si="23"/>
        <v>10525.87</v>
      </c>
    </row>
    <row r="196" spans="2:21" x14ac:dyDescent="0.2">
      <c r="B196" s="181">
        <f t="shared" si="26"/>
        <v>179</v>
      </c>
      <c r="C196" s="162">
        <f t="shared" si="27"/>
        <v>50739</v>
      </c>
      <c r="D196" s="6">
        <f>IFERROR((PPMT(Input!$E$55/12,B196,$C$6,Input!$E$54,-Input!$E$65,0))," ")</f>
        <v>-6734.8913115799169</v>
      </c>
      <c r="E196" s="6">
        <f>IFERROR(((IPMT(Input!$E$55/12,B196,$C$6,Input!$E$54,-Input!$E$65,0)))," ")</f>
        <v>-3582.6436905901846</v>
      </c>
      <c r="F196" s="6">
        <f t="shared" si="29"/>
        <v>-825067.17700099398</v>
      </c>
      <c r="G196" s="6">
        <f t="shared" si="28"/>
        <v>-1021771.5883874542</v>
      </c>
      <c r="H196" s="6">
        <f t="shared" si="24"/>
        <v>-10317.535002170102</v>
      </c>
      <c r="I196" s="6">
        <f t="shared" si="25"/>
        <v>774932.82299900602</v>
      </c>
      <c r="J196" s="6" t="str">
        <f>IF(B196&lt;&gt;"",IF(AND(Input!$H$54="Annual",MOD(B196,12)=0),Input!$J$54,IF(AND(Input!$H$54="1st Installment",B196=1),Input!$J$54,IF(Input!$H$54="Monthly",Input!$J$54,""))),"")</f>
        <v/>
      </c>
      <c r="K196" s="6" t="str">
        <f>IF(B196&lt;&gt;"",IF(AND(Input!$H$55="Annual",MOD(B196,12)=0),Input!$J$55,IF(AND(Input!$H$55="1st Installment",B196=1),Input!$J$55,IF(Input!$H$55="Monthly",Input!$J$55,""))),"")</f>
        <v/>
      </c>
      <c r="L196" s="6">
        <f>IF(B196&lt;&gt;"",IF(AND(Input!$H$56="Annual",MOD(B196,12)=0),Input!$J$56,IF(AND(Input!$H$56="1st Installment",B196=1),Input!$J$56,IF(Input!$H$56="Monthly",Input!$J$56,""))),"")</f>
        <v>208.33333333333334</v>
      </c>
      <c r="M196" s="6" t="str">
        <f>IF(B196&lt;&gt;"",IF(AND(Input!$H$57="Annual",MOD(B196,12)=0),Input!$J$57,IF(AND(Input!$H$57="1st Installment",B196=1),Input!$J$57,IF(Input!$H$57="Monthly",Input!$J$57,""))),"")</f>
        <v/>
      </c>
      <c r="N196" s="6" t="str">
        <f>IF(B196&lt;&gt;"",IF(AND(Input!$H$58="Annual",MOD(B196,12)=0),Input!$J$58,IF(AND(Input!$H$58="1st Installment",B196=1),Input!$J$58,IF(Input!$H$58="Monthly",Input!$J$58,IF(AND(Input!$H$58="End of the loan",B196=Input!$E$58),Input!$J$58,"")))),"")</f>
        <v/>
      </c>
      <c r="O196" s="6">
        <f t="shared" si="20"/>
        <v>208.33333333333334</v>
      </c>
      <c r="P196" s="4">
        <f t="shared" si="21"/>
        <v>10525.868335503435</v>
      </c>
      <c r="T196" s="9">
        <f t="shared" si="22"/>
        <v>50739</v>
      </c>
      <c r="U196" s="5">
        <f t="shared" si="23"/>
        <v>10525.87</v>
      </c>
    </row>
    <row r="197" spans="2:21" x14ac:dyDescent="0.2">
      <c r="B197" s="181">
        <f t="shared" si="26"/>
        <v>180</v>
      </c>
      <c r="C197" s="162">
        <f t="shared" si="27"/>
        <v>50769</v>
      </c>
      <c r="D197" s="6">
        <f>IFERROR((PPMT(Input!$E$55/12,B197,$C$6,Input!$E$54,-Input!$E$65,0))," ")</f>
        <v>-6765.7595634246582</v>
      </c>
      <c r="E197" s="6">
        <f>IFERROR(((IPMT(Input!$E$55/12,B197,$C$6,Input!$E$54,-Input!$E$65,0)))," ")</f>
        <v>-3551.7754387454438</v>
      </c>
      <c r="F197" s="6">
        <f t="shared" si="29"/>
        <v>-831832.9365644186</v>
      </c>
      <c r="G197" s="6">
        <f t="shared" si="28"/>
        <v>-1025323.3638261996</v>
      </c>
      <c r="H197" s="6">
        <f t="shared" si="24"/>
        <v>-10317.535002170102</v>
      </c>
      <c r="I197" s="6">
        <f t="shared" si="25"/>
        <v>768167.0634355814</v>
      </c>
      <c r="J197" s="6" t="str">
        <f>IF(B197&lt;&gt;"",IF(AND(Input!$H$54="Annual",MOD(B197,12)=0),Input!$J$54,IF(AND(Input!$H$54="1st Installment",B197=1),Input!$J$54,IF(Input!$H$54="Monthly",Input!$J$54,""))),"")</f>
        <v/>
      </c>
      <c r="K197" s="6">
        <f>IF(B197&lt;&gt;"",IF(AND(Input!$H$55="Annual",MOD(B197,12)=0),Input!$J$55,IF(AND(Input!$H$55="1st Installment",B197=1),Input!$J$55,IF(Input!$H$55="Monthly",Input!$J$55,""))),"")</f>
        <v>0</v>
      </c>
      <c r="L197" s="6">
        <f>IF(B197&lt;&gt;"",IF(AND(Input!$H$56="Annual",MOD(B197,12)=0),Input!$J$56,IF(AND(Input!$H$56="1st Installment",B197=1),Input!$J$56,IF(Input!$H$56="Monthly",Input!$J$56,""))),"")</f>
        <v>208.33333333333334</v>
      </c>
      <c r="M197" s="6" t="str">
        <f>IF(B197&lt;&gt;"",IF(AND(Input!$H$57="Annual",MOD(B197,12)=0),Input!$J$57,IF(AND(Input!$H$57="1st Installment",B197=1),Input!$J$57,IF(Input!$H$57="Monthly",Input!$J$57,""))),"")</f>
        <v/>
      </c>
      <c r="N197" s="6">
        <f>IF(B197&lt;&gt;"",IF(AND(Input!$H$58="Annual",MOD(B197,12)=0),Input!$J$58,IF(AND(Input!$H$58="1st Installment",B197=1),Input!$J$58,IF(Input!$H$58="Monthly",Input!$J$58,IF(AND(Input!$H$58="End of the loan",B197=Input!$E$58),Input!$J$58,"")))),"")</f>
        <v>0</v>
      </c>
      <c r="O197" s="6">
        <f t="shared" si="20"/>
        <v>208.33333333333334</v>
      </c>
      <c r="P197" s="4">
        <f t="shared" si="21"/>
        <v>10525.868335503435</v>
      </c>
      <c r="T197" s="9">
        <f t="shared" si="22"/>
        <v>50769</v>
      </c>
      <c r="U197" s="5">
        <f t="shared" si="23"/>
        <v>10525.87</v>
      </c>
    </row>
    <row r="198" spans="2:21" x14ac:dyDescent="0.2">
      <c r="B198" s="181">
        <f t="shared" si="26"/>
        <v>181</v>
      </c>
      <c r="C198" s="162">
        <f t="shared" si="27"/>
        <v>50800</v>
      </c>
      <c r="D198" s="6">
        <f>IFERROR((PPMT(Input!$E$55/12,B198,$C$6,Input!$E$54,-Input!$E$65,0))," ")</f>
        <v>-6796.7692947570204</v>
      </c>
      <c r="E198" s="6">
        <f>IFERROR(((IPMT(Input!$E$55/12,B198,$C$6,Input!$E$54,-Input!$E$65,0)))," ")</f>
        <v>-3520.7657074130807</v>
      </c>
      <c r="F198" s="6">
        <f t="shared" si="29"/>
        <v>-838629.70585917565</v>
      </c>
      <c r="G198" s="6">
        <f t="shared" si="28"/>
        <v>-1028844.1295336126</v>
      </c>
      <c r="H198" s="6">
        <f t="shared" si="24"/>
        <v>-10317.535002170102</v>
      </c>
      <c r="I198" s="6">
        <f t="shared" si="25"/>
        <v>761370.29414082435</v>
      </c>
      <c r="J198" s="6" t="str">
        <f>IF(B198&lt;&gt;"",IF(AND(Input!$H$54="Annual",MOD(B198,12)=0),Input!$J$54,IF(AND(Input!$H$54="1st Installment",B198=1),Input!$J$54,IF(Input!$H$54="Monthly",Input!$J$54,""))),"")</f>
        <v/>
      </c>
      <c r="K198" s="6" t="str">
        <f>IF(B198&lt;&gt;"",IF(AND(Input!$H$55="Annual",MOD(B198,12)=0),Input!$J$55,IF(AND(Input!$H$55="1st Installment",B198=1),Input!$J$55,IF(Input!$H$55="Monthly",Input!$J$55,""))),"")</f>
        <v/>
      </c>
      <c r="L198" s="6">
        <f>IF(B198&lt;&gt;"",IF(AND(Input!$H$56="Annual",MOD(B198,12)=0),Input!$J$56,IF(AND(Input!$H$56="1st Installment",B198=1),Input!$J$56,IF(Input!$H$56="Monthly",Input!$J$56,""))),"")</f>
        <v>208.33333333333334</v>
      </c>
      <c r="M198" s="6" t="str">
        <f>IF(B198&lt;&gt;"",IF(AND(Input!$H$57="Annual",MOD(B198,12)=0),Input!$J$57,IF(AND(Input!$H$57="1st Installment",B198=1),Input!$J$57,IF(Input!$H$57="Monthly",Input!$J$57,""))),"")</f>
        <v/>
      </c>
      <c r="N198" s="6" t="str">
        <f>IF(B198&lt;&gt;"",IF(AND(Input!$H$58="Annual",MOD(B198,12)=0),Input!$J$58,IF(AND(Input!$H$58="1st Installment",B198=1),Input!$J$58,IF(Input!$H$58="Monthly",Input!$J$58,IF(AND(Input!$H$58="End of the loan",B198=Input!$E$58),Input!$J$58,"")))),"")</f>
        <v/>
      </c>
      <c r="O198" s="6">
        <f t="shared" si="20"/>
        <v>208.33333333333334</v>
      </c>
      <c r="P198" s="4">
        <f t="shared" si="21"/>
        <v>10525.868335503435</v>
      </c>
      <c r="T198" s="9">
        <f t="shared" si="22"/>
        <v>50800</v>
      </c>
      <c r="U198" s="5">
        <f t="shared" si="23"/>
        <v>10525.87</v>
      </c>
    </row>
    <row r="199" spans="2:21" x14ac:dyDescent="0.2">
      <c r="B199" s="181">
        <f t="shared" si="26"/>
        <v>182</v>
      </c>
      <c r="C199" s="162">
        <f t="shared" si="27"/>
        <v>50829</v>
      </c>
      <c r="D199" s="6">
        <f>IFERROR((PPMT(Input!$E$55/12,B199,$C$6,Input!$E$54,-Input!$E$65,0))," ")</f>
        <v>-6827.9211540246561</v>
      </c>
      <c r="E199" s="6">
        <f>IFERROR(((IPMT(Input!$E$55/12,B199,$C$6,Input!$E$54,-Input!$E$65,0)))," ")</f>
        <v>-3489.6138481454441</v>
      </c>
      <c r="F199" s="6">
        <f t="shared" si="29"/>
        <v>-845457.62701320031</v>
      </c>
      <c r="G199" s="6">
        <f t="shared" si="28"/>
        <v>-1032333.7433817581</v>
      </c>
      <c r="H199" s="6">
        <f t="shared" si="24"/>
        <v>-10317.5350021701</v>
      </c>
      <c r="I199" s="6">
        <f t="shared" si="25"/>
        <v>754542.37298679969</v>
      </c>
      <c r="J199" s="6" t="str">
        <f>IF(B199&lt;&gt;"",IF(AND(Input!$H$54="Annual",MOD(B199,12)=0),Input!$J$54,IF(AND(Input!$H$54="1st Installment",B199=1),Input!$J$54,IF(Input!$H$54="Monthly",Input!$J$54,""))),"")</f>
        <v/>
      </c>
      <c r="K199" s="6" t="str">
        <f>IF(B199&lt;&gt;"",IF(AND(Input!$H$55="Annual",MOD(B199,12)=0),Input!$J$55,IF(AND(Input!$H$55="1st Installment",B199=1),Input!$J$55,IF(Input!$H$55="Monthly",Input!$J$55,""))),"")</f>
        <v/>
      </c>
      <c r="L199" s="6">
        <f>IF(B199&lt;&gt;"",IF(AND(Input!$H$56="Annual",MOD(B199,12)=0),Input!$J$56,IF(AND(Input!$H$56="1st Installment",B199=1),Input!$J$56,IF(Input!$H$56="Monthly",Input!$J$56,""))),"")</f>
        <v>208.33333333333334</v>
      </c>
      <c r="M199" s="6" t="str">
        <f>IF(B199&lt;&gt;"",IF(AND(Input!$H$57="Annual",MOD(B199,12)=0),Input!$J$57,IF(AND(Input!$H$57="1st Installment",B199=1),Input!$J$57,IF(Input!$H$57="Monthly",Input!$J$57,""))),"")</f>
        <v/>
      </c>
      <c r="N199" s="6" t="str">
        <f>IF(B199&lt;&gt;"",IF(AND(Input!$H$58="Annual",MOD(B199,12)=0),Input!$J$58,IF(AND(Input!$H$58="1st Installment",B199=1),Input!$J$58,IF(Input!$H$58="Monthly",Input!$J$58,IF(AND(Input!$H$58="End of the loan",B199=Input!$E$58),Input!$J$58,"")))),"")</f>
        <v/>
      </c>
      <c r="O199" s="6">
        <f t="shared" si="20"/>
        <v>208.33333333333334</v>
      </c>
      <c r="P199" s="4">
        <f t="shared" si="21"/>
        <v>10525.868335503434</v>
      </c>
      <c r="T199" s="9">
        <f t="shared" si="22"/>
        <v>50829</v>
      </c>
      <c r="U199" s="5">
        <f t="shared" si="23"/>
        <v>10525.87</v>
      </c>
    </row>
    <row r="200" spans="2:21" x14ac:dyDescent="0.2">
      <c r="B200" s="181">
        <f t="shared" si="26"/>
        <v>183</v>
      </c>
      <c r="C200" s="162">
        <f t="shared" si="27"/>
        <v>50859</v>
      </c>
      <c r="D200" s="6">
        <f>IFERROR((PPMT(Input!$E$55/12,B200,$C$6,Input!$E$54,-Input!$E$65,0))," ")</f>
        <v>-6859.2157926472701</v>
      </c>
      <c r="E200" s="6">
        <f>IFERROR(((IPMT(Input!$E$55/12,B200,$C$6,Input!$E$54,-Input!$E$65,0)))," ")</f>
        <v>-3458.319209522831</v>
      </c>
      <c r="F200" s="6">
        <f t="shared" si="29"/>
        <v>-852316.84280584753</v>
      </c>
      <c r="G200" s="6">
        <f t="shared" si="28"/>
        <v>-1035792.0625912809</v>
      </c>
      <c r="H200" s="6">
        <f t="shared" si="24"/>
        <v>-10317.535002170102</v>
      </c>
      <c r="I200" s="6">
        <f t="shared" si="25"/>
        <v>747683.15719415247</v>
      </c>
      <c r="J200" s="6" t="str">
        <f>IF(B200&lt;&gt;"",IF(AND(Input!$H$54="Annual",MOD(B200,12)=0),Input!$J$54,IF(AND(Input!$H$54="1st Installment",B200=1),Input!$J$54,IF(Input!$H$54="Monthly",Input!$J$54,""))),"")</f>
        <v/>
      </c>
      <c r="K200" s="6" t="str">
        <f>IF(B200&lt;&gt;"",IF(AND(Input!$H$55="Annual",MOD(B200,12)=0),Input!$J$55,IF(AND(Input!$H$55="1st Installment",B200=1),Input!$J$55,IF(Input!$H$55="Monthly",Input!$J$55,""))),"")</f>
        <v/>
      </c>
      <c r="L200" s="6">
        <f>IF(B200&lt;&gt;"",IF(AND(Input!$H$56="Annual",MOD(B200,12)=0),Input!$J$56,IF(AND(Input!$H$56="1st Installment",B200=1),Input!$J$56,IF(Input!$H$56="Monthly",Input!$J$56,""))),"")</f>
        <v>208.33333333333334</v>
      </c>
      <c r="M200" s="6" t="str">
        <f>IF(B200&lt;&gt;"",IF(AND(Input!$H$57="Annual",MOD(B200,12)=0),Input!$J$57,IF(AND(Input!$H$57="1st Installment",B200=1),Input!$J$57,IF(Input!$H$57="Monthly",Input!$J$57,""))),"")</f>
        <v/>
      </c>
      <c r="N200" s="6" t="str">
        <f>IF(B200&lt;&gt;"",IF(AND(Input!$H$58="Annual",MOD(B200,12)=0),Input!$J$58,IF(AND(Input!$H$58="1st Installment",B200=1),Input!$J$58,IF(Input!$H$58="Monthly",Input!$J$58,IF(AND(Input!$H$58="End of the loan",B200=Input!$E$58),Input!$J$58,"")))),"")</f>
        <v/>
      </c>
      <c r="O200" s="6">
        <f t="shared" si="20"/>
        <v>208.33333333333334</v>
      </c>
      <c r="P200" s="4">
        <f t="shared" si="21"/>
        <v>10525.868335503435</v>
      </c>
      <c r="T200" s="9">
        <f t="shared" si="22"/>
        <v>50859</v>
      </c>
      <c r="U200" s="5">
        <f t="shared" si="23"/>
        <v>10525.87</v>
      </c>
    </row>
    <row r="201" spans="2:21" x14ac:dyDescent="0.2">
      <c r="B201" s="181">
        <f t="shared" si="26"/>
        <v>184</v>
      </c>
      <c r="C201" s="162">
        <f t="shared" si="27"/>
        <v>50890</v>
      </c>
      <c r="D201" s="6">
        <f>IFERROR((PPMT(Input!$E$55/12,B201,$C$6,Input!$E$54,-Input!$E$65,0))," ")</f>
        <v>-6890.6538650302373</v>
      </c>
      <c r="E201" s="6">
        <f>IFERROR(((IPMT(Input!$E$55/12,B201,$C$6,Input!$E$54,-Input!$E$65,0)))," ")</f>
        <v>-3426.8811371398647</v>
      </c>
      <c r="F201" s="6">
        <f t="shared" si="29"/>
        <v>-859207.49667087779</v>
      </c>
      <c r="G201" s="6">
        <f t="shared" si="28"/>
        <v>-1039218.9437284208</v>
      </c>
      <c r="H201" s="6">
        <f t="shared" si="24"/>
        <v>-10317.535002170102</v>
      </c>
      <c r="I201" s="6">
        <f t="shared" si="25"/>
        <v>740792.50332912221</v>
      </c>
      <c r="J201" s="6" t="str">
        <f>IF(B201&lt;&gt;"",IF(AND(Input!$H$54="Annual",MOD(B201,12)=0),Input!$J$54,IF(AND(Input!$H$54="1st Installment",B201=1),Input!$J$54,IF(Input!$H$54="Monthly",Input!$J$54,""))),"")</f>
        <v/>
      </c>
      <c r="K201" s="6" t="str">
        <f>IF(B201&lt;&gt;"",IF(AND(Input!$H$55="Annual",MOD(B201,12)=0),Input!$J$55,IF(AND(Input!$H$55="1st Installment",B201=1),Input!$J$55,IF(Input!$H$55="Monthly",Input!$J$55,""))),"")</f>
        <v/>
      </c>
      <c r="L201" s="6">
        <f>IF(B201&lt;&gt;"",IF(AND(Input!$H$56="Annual",MOD(B201,12)=0),Input!$J$56,IF(AND(Input!$H$56="1st Installment",B201=1),Input!$J$56,IF(Input!$H$56="Monthly",Input!$J$56,""))),"")</f>
        <v>208.33333333333334</v>
      </c>
      <c r="M201" s="6" t="str">
        <f>IF(B201&lt;&gt;"",IF(AND(Input!$H$57="Annual",MOD(B201,12)=0),Input!$J$57,IF(AND(Input!$H$57="1st Installment",B201=1),Input!$J$57,IF(Input!$H$57="Monthly",Input!$J$57,""))),"")</f>
        <v/>
      </c>
      <c r="N201" s="6" t="str">
        <f>IF(B201&lt;&gt;"",IF(AND(Input!$H$58="Annual",MOD(B201,12)=0),Input!$J$58,IF(AND(Input!$H$58="1st Installment",B201=1),Input!$J$58,IF(Input!$H$58="Monthly",Input!$J$58,IF(AND(Input!$H$58="End of the loan",B201=Input!$E$58),Input!$J$58,"")))),"")</f>
        <v/>
      </c>
      <c r="O201" s="6">
        <f t="shared" si="20"/>
        <v>208.33333333333334</v>
      </c>
      <c r="P201" s="4">
        <f t="shared" si="21"/>
        <v>10525.868335503435</v>
      </c>
      <c r="T201" s="9">
        <f t="shared" si="22"/>
        <v>50890</v>
      </c>
      <c r="U201" s="5">
        <f t="shared" si="23"/>
        <v>10525.87</v>
      </c>
    </row>
    <row r="202" spans="2:21" x14ac:dyDescent="0.2">
      <c r="B202" s="181">
        <f t="shared" si="26"/>
        <v>185</v>
      </c>
      <c r="C202" s="162">
        <f t="shared" si="27"/>
        <v>50920</v>
      </c>
      <c r="D202" s="6">
        <f>IFERROR((PPMT(Input!$E$55/12,B202,$C$6,Input!$E$54,-Input!$E$65,0))," ")</f>
        <v>-6922.2360285782925</v>
      </c>
      <c r="E202" s="6">
        <f>IFERROR(((IPMT(Input!$E$55/12,B202,$C$6,Input!$E$54,-Input!$E$65,0)))," ")</f>
        <v>-3395.298973591809</v>
      </c>
      <c r="F202" s="6">
        <f t="shared" si="29"/>
        <v>-866129.73269945604</v>
      </c>
      <c r="G202" s="6">
        <f t="shared" si="28"/>
        <v>-1042614.2427020125</v>
      </c>
      <c r="H202" s="6">
        <f t="shared" si="24"/>
        <v>-10317.535002170102</v>
      </c>
      <c r="I202" s="6">
        <f t="shared" si="25"/>
        <v>733870.26730054396</v>
      </c>
      <c r="J202" s="6" t="str">
        <f>IF(B202&lt;&gt;"",IF(AND(Input!$H$54="Annual",MOD(B202,12)=0),Input!$J$54,IF(AND(Input!$H$54="1st Installment",B202=1),Input!$J$54,IF(Input!$H$54="Monthly",Input!$J$54,""))),"")</f>
        <v/>
      </c>
      <c r="K202" s="6" t="str">
        <f>IF(B202&lt;&gt;"",IF(AND(Input!$H$55="Annual",MOD(B202,12)=0),Input!$J$55,IF(AND(Input!$H$55="1st Installment",B202=1),Input!$J$55,IF(Input!$H$55="Monthly",Input!$J$55,""))),"")</f>
        <v/>
      </c>
      <c r="L202" s="6">
        <f>IF(B202&lt;&gt;"",IF(AND(Input!$H$56="Annual",MOD(B202,12)=0),Input!$J$56,IF(AND(Input!$H$56="1st Installment",B202=1),Input!$J$56,IF(Input!$H$56="Monthly",Input!$J$56,""))),"")</f>
        <v>208.33333333333334</v>
      </c>
      <c r="M202" s="6" t="str">
        <f>IF(B202&lt;&gt;"",IF(AND(Input!$H$57="Annual",MOD(B202,12)=0),Input!$J$57,IF(AND(Input!$H$57="1st Installment",B202=1),Input!$J$57,IF(Input!$H$57="Monthly",Input!$J$57,""))),"")</f>
        <v/>
      </c>
      <c r="N202" s="6" t="str">
        <f>IF(B202&lt;&gt;"",IF(AND(Input!$H$58="Annual",MOD(B202,12)=0),Input!$J$58,IF(AND(Input!$H$58="1st Installment",B202=1),Input!$J$58,IF(Input!$H$58="Monthly",Input!$J$58,IF(AND(Input!$H$58="End of the loan",B202=Input!$E$58),Input!$J$58,"")))),"")</f>
        <v/>
      </c>
      <c r="O202" s="6">
        <f t="shared" si="20"/>
        <v>208.33333333333334</v>
      </c>
      <c r="P202" s="4">
        <f t="shared" si="21"/>
        <v>10525.868335503435</v>
      </c>
      <c r="T202" s="9">
        <f t="shared" si="22"/>
        <v>50920</v>
      </c>
      <c r="U202" s="5">
        <f t="shared" si="23"/>
        <v>10525.87</v>
      </c>
    </row>
    <row r="203" spans="2:21" x14ac:dyDescent="0.2">
      <c r="B203" s="181">
        <f t="shared" si="26"/>
        <v>186</v>
      </c>
      <c r="C203" s="162">
        <f t="shared" si="27"/>
        <v>50951</v>
      </c>
      <c r="D203" s="6">
        <f>IFERROR((PPMT(Input!$E$55/12,B203,$C$6,Input!$E$54,-Input!$E$65,0))," ")</f>
        <v>-6953.9629437092754</v>
      </c>
      <c r="E203" s="6">
        <f>IFERROR(((IPMT(Input!$E$55/12,B203,$C$6,Input!$E$54,-Input!$E$65,0)))," ")</f>
        <v>-3363.5720584608248</v>
      </c>
      <c r="F203" s="6">
        <f t="shared" si="29"/>
        <v>-873083.69564316527</v>
      </c>
      <c r="G203" s="6">
        <f t="shared" si="28"/>
        <v>-1045977.8147604733</v>
      </c>
      <c r="H203" s="6">
        <f t="shared" si="24"/>
        <v>-10317.5350021701</v>
      </c>
      <c r="I203" s="6">
        <f t="shared" si="25"/>
        <v>726916.30435683473</v>
      </c>
      <c r="J203" s="6" t="str">
        <f>IF(B203&lt;&gt;"",IF(AND(Input!$H$54="Annual",MOD(B203,12)=0),Input!$J$54,IF(AND(Input!$H$54="1st Installment",B203=1),Input!$J$54,IF(Input!$H$54="Monthly",Input!$J$54,""))),"")</f>
        <v/>
      </c>
      <c r="K203" s="6" t="str">
        <f>IF(B203&lt;&gt;"",IF(AND(Input!$H$55="Annual",MOD(B203,12)=0),Input!$J$55,IF(AND(Input!$H$55="1st Installment",B203=1),Input!$J$55,IF(Input!$H$55="Monthly",Input!$J$55,""))),"")</f>
        <v/>
      </c>
      <c r="L203" s="6">
        <f>IF(B203&lt;&gt;"",IF(AND(Input!$H$56="Annual",MOD(B203,12)=0),Input!$J$56,IF(AND(Input!$H$56="1st Installment",B203=1),Input!$J$56,IF(Input!$H$56="Monthly",Input!$J$56,""))),"")</f>
        <v>208.33333333333334</v>
      </c>
      <c r="M203" s="6" t="str">
        <f>IF(B203&lt;&gt;"",IF(AND(Input!$H$57="Annual",MOD(B203,12)=0),Input!$J$57,IF(AND(Input!$H$57="1st Installment",B203=1),Input!$J$57,IF(Input!$H$57="Monthly",Input!$J$57,""))),"")</f>
        <v/>
      </c>
      <c r="N203" s="6" t="str">
        <f>IF(B203&lt;&gt;"",IF(AND(Input!$H$58="Annual",MOD(B203,12)=0),Input!$J$58,IF(AND(Input!$H$58="1st Installment",B203=1),Input!$J$58,IF(Input!$H$58="Monthly",Input!$J$58,IF(AND(Input!$H$58="End of the loan",B203=Input!$E$58),Input!$J$58,"")))),"")</f>
        <v/>
      </c>
      <c r="O203" s="6">
        <f t="shared" si="20"/>
        <v>208.33333333333334</v>
      </c>
      <c r="P203" s="4">
        <f t="shared" si="21"/>
        <v>10525.868335503434</v>
      </c>
      <c r="T203" s="9">
        <f t="shared" si="22"/>
        <v>50951</v>
      </c>
      <c r="U203" s="5">
        <f t="shared" si="23"/>
        <v>10525.87</v>
      </c>
    </row>
    <row r="204" spans="2:21" x14ac:dyDescent="0.2">
      <c r="B204" s="181">
        <f t="shared" si="26"/>
        <v>187</v>
      </c>
      <c r="C204" s="162">
        <f t="shared" si="27"/>
        <v>50981</v>
      </c>
      <c r="D204" s="6">
        <f>IFERROR((PPMT(Input!$E$55/12,B204,$C$6,Input!$E$54,-Input!$E$65,0))," ")</f>
        <v>-6985.8352738679441</v>
      </c>
      <c r="E204" s="6">
        <f>IFERROR(((IPMT(Input!$E$55/12,B204,$C$6,Input!$E$54,-Input!$E$65,0)))," ")</f>
        <v>-3331.6997283021578</v>
      </c>
      <c r="F204" s="6">
        <f t="shared" si="29"/>
        <v>-880069.5309170332</v>
      </c>
      <c r="G204" s="6">
        <f t="shared" si="28"/>
        <v>-1049309.5144887755</v>
      </c>
      <c r="H204" s="6">
        <f t="shared" si="24"/>
        <v>-10317.535002170102</v>
      </c>
      <c r="I204" s="6">
        <f t="shared" si="25"/>
        <v>719930.4690829668</v>
      </c>
      <c r="J204" s="6" t="str">
        <f>IF(B204&lt;&gt;"",IF(AND(Input!$H$54="Annual",MOD(B204,12)=0),Input!$J$54,IF(AND(Input!$H$54="1st Installment",B204=1),Input!$J$54,IF(Input!$H$54="Monthly",Input!$J$54,""))),"")</f>
        <v/>
      </c>
      <c r="K204" s="6" t="str">
        <f>IF(B204&lt;&gt;"",IF(AND(Input!$H$55="Annual",MOD(B204,12)=0),Input!$J$55,IF(AND(Input!$H$55="1st Installment",B204=1),Input!$J$55,IF(Input!$H$55="Monthly",Input!$J$55,""))),"")</f>
        <v/>
      </c>
      <c r="L204" s="6">
        <f>IF(B204&lt;&gt;"",IF(AND(Input!$H$56="Annual",MOD(B204,12)=0),Input!$J$56,IF(AND(Input!$H$56="1st Installment",B204=1),Input!$J$56,IF(Input!$H$56="Monthly",Input!$J$56,""))),"")</f>
        <v>208.33333333333334</v>
      </c>
      <c r="M204" s="6" t="str">
        <f>IF(B204&lt;&gt;"",IF(AND(Input!$H$57="Annual",MOD(B204,12)=0),Input!$J$57,IF(AND(Input!$H$57="1st Installment",B204=1),Input!$J$57,IF(Input!$H$57="Monthly",Input!$J$57,""))),"")</f>
        <v/>
      </c>
      <c r="N204" s="6" t="str">
        <f>IF(B204&lt;&gt;"",IF(AND(Input!$H$58="Annual",MOD(B204,12)=0),Input!$J$58,IF(AND(Input!$H$58="1st Installment",B204=1),Input!$J$58,IF(Input!$H$58="Monthly",Input!$J$58,IF(AND(Input!$H$58="End of the loan",B204=Input!$E$58),Input!$J$58,"")))),"")</f>
        <v/>
      </c>
      <c r="O204" s="6">
        <f t="shared" si="20"/>
        <v>208.33333333333334</v>
      </c>
      <c r="P204" s="4">
        <f t="shared" si="21"/>
        <v>10525.868335503435</v>
      </c>
      <c r="T204" s="9">
        <f t="shared" si="22"/>
        <v>50981</v>
      </c>
      <c r="U204" s="5">
        <f t="shared" si="23"/>
        <v>10525.87</v>
      </c>
    </row>
    <row r="205" spans="2:21" x14ac:dyDescent="0.2">
      <c r="B205" s="181">
        <f t="shared" si="26"/>
        <v>188</v>
      </c>
      <c r="C205" s="162">
        <f t="shared" si="27"/>
        <v>51012</v>
      </c>
      <c r="D205" s="6">
        <f>IFERROR((PPMT(Input!$E$55/12,B205,$C$6,Input!$E$54,-Input!$E$65,0))," ")</f>
        <v>-7017.8536855398379</v>
      </c>
      <c r="E205" s="6">
        <f>IFERROR(((IPMT(Input!$E$55/12,B205,$C$6,Input!$E$54,-Input!$E$65,0)))," ")</f>
        <v>-3299.6813166302627</v>
      </c>
      <c r="F205" s="6">
        <f t="shared" si="29"/>
        <v>-887087.384602573</v>
      </c>
      <c r="G205" s="6">
        <f t="shared" si="28"/>
        <v>-1052609.1958054057</v>
      </c>
      <c r="H205" s="6">
        <f t="shared" si="24"/>
        <v>-10317.535002170102</v>
      </c>
      <c r="I205" s="6">
        <f t="shared" si="25"/>
        <v>712912.615397427</v>
      </c>
      <c r="J205" s="6" t="str">
        <f>IF(B205&lt;&gt;"",IF(AND(Input!$H$54="Annual",MOD(B205,12)=0),Input!$J$54,IF(AND(Input!$H$54="1st Installment",B205=1),Input!$J$54,IF(Input!$H$54="Monthly",Input!$J$54,""))),"")</f>
        <v/>
      </c>
      <c r="K205" s="6" t="str">
        <f>IF(B205&lt;&gt;"",IF(AND(Input!$H$55="Annual",MOD(B205,12)=0),Input!$J$55,IF(AND(Input!$H$55="1st Installment",B205=1),Input!$J$55,IF(Input!$H$55="Monthly",Input!$J$55,""))),"")</f>
        <v/>
      </c>
      <c r="L205" s="6">
        <f>IF(B205&lt;&gt;"",IF(AND(Input!$H$56="Annual",MOD(B205,12)=0),Input!$J$56,IF(AND(Input!$H$56="1st Installment",B205=1),Input!$J$56,IF(Input!$H$56="Monthly",Input!$J$56,""))),"")</f>
        <v>208.33333333333334</v>
      </c>
      <c r="M205" s="6" t="str">
        <f>IF(B205&lt;&gt;"",IF(AND(Input!$H$57="Annual",MOD(B205,12)=0),Input!$J$57,IF(AND(Input!$H$57="1st Installment",B205=1),Input!$J$57,IF(Input!$H$57="Monthly",Input!$J$57,""))),"")</f>
        <v/>
      </c>
      <c r="N205" s="6" t="str">
        <f>IF(B205&lt;&gt;"",IF(AND(Input!$H$58="Annual",MOD(B205,12)=0),Input!$J$58,IF(AND(Input!$H$58="1st Installment",B205=1),Input!$J$58,IF(Input!$H$58="Monthly",Input!$J$58,IF(AND(Input!$H$58="End of the loan",B205=Input!$E$58),Input!$J$58,"")))),"")</f>
        <v/>
      </c>
      <c r="O205" s="6">
        <f t="shared" si="20"/>
        <v>208.33333333333334</v>
      </c>
      <c r="P205" s="4">
        <f t="shared" si="21"/>
        <v>10525.868335503435</v>
      </c>
      <c r="T205" s="9">
        <f t="shared" si="22"/>
        <v>51012</v>
      </c>
      <c r="U205" s="5">
        <f t="shared" si="23"/>
        <v>10525.87</v>
      </c>
    </row>
    <row r="206" spans="2:21" x14ac:dyDescent="0.2">
      <c r="B206" s="181">
        <f t="shared" si="26"/>
        <v>189</v>
      </c>
      <c r="C206" s="162">
        <f t="shared" si="27"/>
        <v>51043</v>
      </c>
      <c r="D206" s="6">
        <f>IFERROR((PPMT(Input!$E$55/12,B206,$C$6,Input!$E$54,-Input!$E$65,0))," ")</f>
        <v>-7050.0188482652284</v>
      </c>
      <c r="E206" s="6">
        <f>IFERROR(((IPMT(Input!$E$55/12,B206,$C$6,Input!$E$54,-Input!$E$65,0)))," ")</f>
        <v>-3267.5161539048722</v>
      </c>
      <c r="F206" s="6">
        <f t="shared" si="29"/>
        <v>-894137.40345083817</v>
      </c>
      <c r="G206" s="6">
        <f t="shared" si="28"/>
        <v>-1055876.7119593106</v>
      </c>
      <c r="H206" s="6">
        <f t="shared" si="24"/>
        <v>-10317.535002170102</v>
      </c>
      <c r="I206" s="6">
        <f t="shared" si="25"/>
        <v>705862.59654916183</v>
      </c>
      <c r="J206" s="6" t="str">
        <f>IF(B206&lt;&gt;"",IF(AND(Input!$H$54="Annual",MOD(B206,12)=0),Input!$J$54,IF(AND(Input!$H$54="1st Installment",B206=1),Input!$J$54,IF(Input!$H$54="Monthly",Input!$J$54,""))),"")</f>
        <v/>
      </c>
      <c r="K206" s="6" t="str">
        <f>IF(B206&lt;&gt;"",IF(AND(Input!$H$55="Annual",MOD(B206,12)=0),Input!$J$55,IF(AND(Input!$H$55="1st Installment",B206=1),Input!$J$55,IF(Input!$H$55="Monthly",Input!$J$55,""))),"")</f>
        <v/>
      </c>
      <c r="L206" s="6">
        <f>IF(B206&lt;&gt;"",IF(AND(Input!$H$56="Annual",MOD(B206,12)=0),Input!$J$56,IF(AND(Input!$H$56="1st Installment",B206=1),Input!$J$56,IF(Input!$H$56="Monthly",Input!$J$56,""))),"")</f>
        <v>208.33333333333334</v>
      </c>
      <c r="M206" s="6" t="str">
        <f>IF(B206&lt;&gt;"",IF(AND(Input!$H$57="Annual",MOD(B206,12)=0),Input!$J$57,IF(AND(Input!$H$57="1st Installment",B206=1),Input!$J$57,IF(Input!$H$57="Monthly",Input!$J$57,""))),"")</f>
        <v/>
      </c>
      <c r="N206" s="6" t="str">
        <f>IF(B206&lt;&gt;"",IF(AND(Input!$H$58="Annual",MOD(B206,12)=0),Input!$J$58,IF(AND(Input!$H$58="1st Installment",B206=1),Input!$J$58,IF(Input!$H$58="Monthly",Input!$J$58,IF(AND(Input!$H$58="End of the loan",B206=Input!$E$58),Input!$J$58,"")))),"")</f>
        <v/>
      </c>
      <c r="O206" s="6">
        <f t="shared" si="20"/>
        <v>208.33333333333334</v>
      </c>
      <c r="P206" s="4">
        <f t="shared" si="21"/>
        <v>10525.868335503435</v>
      </c>
      <c r="T206" s="9">
        <f t="shared" si="22"/>
        <v>51043</v>
      </c>
      <c r="U206" s="5">
        <f t="shared" si="23"/>
        <v>10525.87</v>
      </c>
    </row>
    <row r="207" spans="2:21" x14ac:dyDescent="0.2">
      <c r="B207" s="181">
        <f t="shared" si="26"/>
        <v>190</v>
      </c>
      <c r="C207" s="162">
        <f t="shared" si="27"/>
        <v>51073</v>
      </c>
      <c r="D207" s="6">
        <f>IFERROR((PPMT(Input!$E$55/12,B207,$C$6,Input!$E$54,-Input!$E$65,0))," ")</f>
        <v>-7082.3314346531115</v>
      </c>
      <c r="E207" s="6">
        <f>IFERROR(((IPMT(Input!$E$55/12,B207,$C$6,Input!$E$54,-Input!$E$65,0)))," ")</f>
        <v>-3235.20356751699</v>
      </c>
      <c r="F207" s="6">
        <f t="shared" si="29"/>
        <v>-901219.73488549131</v>
      </c>
      <c r="G207" s="6">
        <f t="shared" si="28"/>
        <v>-1059111.9155268276</v>
      </c>
      <c r="H207" s="6">
        <f t="shared" si="24"/>
        <v>-10317.535002170102</v>
      </c>
      <c r="I207" s="6">
        <f t="shared" si="25"/>
        <v>698780.26511450869</v>
      </c>
      <c r="J207" s="6" t="str">
        <f>IF(B207&lt;&gt;"",IF(AND(Input!$H$54="Annual",MOD(B207,12)=0),Input!$J$54,IF(AND(Input!$H$54="1st Installment",B207=1),Input!$J$54,IF(Input!$H$54="Monthly",Input!$J$54,""))),"")</f>
        <v/>
      </c>
      <c r="K207" s="6" t="str">
        <f>IF(B207&lt;&gt;"",IF(AND(Input!$H$55="Annual",MOD(B207,12)=0),Input!$J$55,IF(AND(Input!$H$55="1st Installment",B207=1),Input!$J$55,IF(Input!$H$55="Monthly",Input!$J$55,""))),"")</f>
        <v/>
      </c>
      <c r="L207" s="6">
        <f>IF(B207&lt;&gt;"",IF(AND(Input!$H$56="Annual",MOD(B207,12)=0),Input!$J$56,IF(AND(Input!$H$56="1st Installment",B207=1),Input!$J$56,IF(Input!$H$56="Monthly",Input!$J$56,""))),"")</f>
        <v>208.33333333333334</v>
      </c>
      <c r="M207" s="6" t="str">
        <f>IF(B207&lt;&gt;"",IF(AND(Input!$H$57="Annual",MOD(B207,12)=0),Input!$J$57,IF(AND(Input!$H$57="1st Installment",B207=1),Input!$J$57,IF(Input!$H$57="Monthly",Input!$J$57,""))),"")</f>
        <v/>
      </c>
      <c r="N207" s="6" t="str">
        <f>IF(B207&lt;&gt;"",IF(AND(Input!$H$58="Annual",MOD(B207,12)=0),Input!$J$58,IF(AND(Input!$H$58="1st Installment",B207=1),Input!$J$58,IF(Input!$H$58="Monthly",Input!$J$58,IF(AND(Input!$H$58="End of the loan",B207=Input!$E$58),Input!$J$58,"")))),"")</f>
        <v/>
      </c>
      <c r="O207" s="6">
        <f t="shared" si="20"/>
        <v>208.33333333333334</v>
      </c>
      <c r="P207" s="4">
        <f t="shared" si="21"/>
        <v>10525.868335503435</v>
      </c>
      <c r="T207" s="9">
        <f t="shared" si="22"/>
        <v>51073</v>
      </c>
      <c r="U207" s="5">
        <f t="shared" si="23"/>
        <v>10525.87</v>
      </c>
    </row>
    <row r="208" spans="2:21" x14ac:dyDescent="0.2">
      <c r="B208" s="181">
        <f t="shared" si="26"/>
        <v>191</v>
      </c>
      <c r="C208" s="162">
        <f t="shared" si="27"/>
        <v>51104</v>
      </c>
      <c r="D208" s="6">
        <f>IFERROR((PPMT(Input!$E$55/12,B208,$C$6,Input!$E$54,-Input!$E$65,0))," ")</f>
        <v>-7114.7921203952719</v>
      </c>
      <c r="E208" s="6">
        <f>IFERROR(((IPMT(Input!$E$55/12,B208,$C$6,Input!$E$54,-Input!$E$65,0)))," ")</f>
        <v>-3202.74288177483</v>
      </c>
      <c r="F208" s="6">
        <f t="shared" si="29"/>
        <v>-908334.52700588654</v>
      </c>
      <c r="G208" s="6">
        <f t="shared" si="28"/>
        <v>-1062314.6584086025</v>
      </c>
      <c r="H208" s="6">
        <f t="shared" si="24"/>
        <v>-10317.535002170102</v>
      </c>
      <c r="I208" s="6">
        <f t="shared" si="25"/>
        <v>691665.47299411346</v>
      </c>
      <c r="J208" s="6" t="str">
        <f>IF(B208&lt;&gt;"",IF(AND(Input!$H$54="Annual",MOD(B208,12)=0),Input!$J$54,IF(AND(Input!$H$54="1st Installment",B208=1),Input!$J$54,IF(Input!$H$54="Monthly",Input!$J$54,""))),"")</f>
        <v/>
      </c>
      <c r="K208" s="6" t="str">
        <f>IF(B208&lt;&gt;"",IF(AND(Input!$H$55="Annual",MOD(B208,12)=0),Input!$J$55,IF(AND(Input!$H$55="1st Installment",B208=1),Input!$J$55,IF(Input!$H$55="Monthly",Input!$J$55,""))),"")</f>
        <v/>
      </c>
      <c r="L208" s="6">
        <f>IF(B208&lt;&gt;"",IF(AND(Input!$H$56="Annual",MOD(B208,12)=0),Input!$J$56,IF(AND(Input!$H$56="1st Installment",B208=1),Input!$J$56,IF(Input!$H$56="Monthly",Input!$J$56,""))),"")</f>
        <v>208.33333333333334</v>
      </c>
      <c r="M208" s="6" t="str">
        <f>IF(B208&lt;&gt;"",IF(AND(Input!$H$57="Annual",MOD(B208,12)=0),Input!$J$57,IF(AND(Input!$H$57="1st Installment",B208=1),Input!$J$57,IF(Input!$H$57="Monthly",Input!$J$57,""))),"")</f>
        <v/>
      </c>
      <c r="N208" s="6" t="str">
        <f>IF(B208&lt;&gt;"",IF(AND(Input!$H$58="Annual",MOD(B208,12)=0),Input!$J$58,IF(AND(Input!$H$58="1st Installment",B208=1),Input!$J$58,IF(Input!$H$58="Monthly",Input!$J$58,IF(AND(Input!$H$58="End of the loan",B208=Input!$E$58),Input!$J$58,"")))),"")</f>
        <v/>
      </c>
      <c r="O208" s="6">
        <f t="shared" si="20"/>
        <v>208.33333333333334</v>
      </c>
      <c r="P208" s="4">
        <f t="shared" si="21"/>
        <v>10525.868335503435</v>
      </c>
      <c r="T208" s="9">
        <f t="shared" si="22"/>
        <v>51104</v>
      </c>
      <c r="U208" s="5">
        <f t="shared" si="23"/>
        <v>10525.87</v>
      </c>
    </row>
    <row r="209" spans="2:21" x14ac:dyDescent="0.2">
      <c r="B209" s="181">
        <f t="shared" si="26"/>
        <v>192</v>
      </c>
      <c r="C209" s="162">
        <f t="shared" si="27"/>
        <v>51134</v>
      </c>
      <c r="D209" s="6">
        <f>IFERROR((PPMT(Input!$E$55/12,B209,$C$6,Input!$E$54,-Input!$E$65,0))," ")</f>
        <v>-7147.4015842804165</v>
      </c>
      <c r="E209" s="6">
        <f>IFERROR(((IPMT(Input!$E$55/12,B209,$C$6,Input!$E$54,-Input!$E$65,0)))," ")</f>
        <v>-3170.1334178896846</v>
      </c>
      <c r="F209" s="6">
        <f t="shared" si="29"/>
        <v>-915481.92859016696</v>
      </c>
      <c r="G209" s="6">
        <f t="shared" si="28"/>
        <v>-1065484.7918264922</v>
      </c>
      <c r="H209" s="6">
        <f t="shared" si="24"/>
        <v>-10317.535002170102</v>
      </c>
      <c r="I209" s="6">
        <f t="shared" si="25"/>
        <v>684518.07140983304</v>
      </c>
      <c r="J209" s="6" t="str">
        <f>IF(B209&lt;&gt;"",IF(AND(Input!$H$54="Annual",MOD(B209,12)=0),Input!$J$54,IF(AND(Input!$H$54="1st Installment",B209=1),Input!$J$54,IF(Input!$H$54="Monthly",Input!$J$54,""))),"")</f>
        <v/>
      </c>
      <c r="K209" s="6">
        <f>IF(B209&lt;&gt;"",IF(AND(Input!$H$55="Annual",MOD(B209,12)=0),Input!$J$55,IF(AND(Input!$H$55="1st Installment",B209=1),Input!$J$55,IF(Input!$H$55="Monthly",Input!$J$55,""))),"")</f>
        <v>0</v>
      </c>
      <c r="L209" s="6">
        <f>IF(B209&lt;&gt;"",IF(AND(Input!$H$56="Annual",MOD(B209,12)=0),Input!$J$56,IF(AND(Input!$H$56="1st Installment",B209=1),Input!$J$56,IF(Input!$H$56="Monthly",Input!$J$56,""))),"")</f>
        <v>208.33333333333334</v>
      </c>
      <c r="M209" s="6" t="str">
        <f>IF(B209&lt;&gt;"",IF(AND(Input!$H$57="Annual",MOD(B209,12)=0),Input!$J$57,IF(AND(Input!$H$57="1st Installment",B209=1),Input!$J$57,IF(Input!$H$57="Monthly",Input!$J$57,""))),"")</f>
        <v/>
      </c>
      <c r="N209" s="6">
        <f>IF(B209&lt;&gt;"",IF(AND(Input!$H$58="Annual",MOD(B209,12)=0),Input!$J$58,IF(AND(Input!$H$58="1st Installment",B209=1),Input!$J$58,IF(Input!$H$58="Monthly",Input!$J$58,IF(AND(Input!$H$58="End of the loan",B209=Input!$E$58),Input!$J$58,"")))),"")</f>
        <v>0</v>
      </c>
      <c r="O209" s="6">
        <f t="shared" ref="O209:O269" si="30">IF(B209&lt;&gt;"",SUM(J209:N209),"")</f>
        <v>208.33333333333334</v>
      </c>
      <c r="P209" s="4">
        <f t="shared" ref="P209:P272" si="31">IF(B209&lt;&gt;"",(-H209+O209),"")</f>
        <v>10525.868335503435</v>
      </c>
      <c r="T209" s="9">
        <f t="shared" si="22"/>
        <v>51134</v>
      </c>
      <c r="U209" s="5">
        <f t="shared" si="23"/>
        <v>10525.87</v>
      </c>
    </row>
    <row r="210" spans="2:21" x14ac:dyDescent="0.2">
      <c r="B210" s="181">
        <f t="shared" si="26"/>
        <v>193</v>
      </c>
      <c r="C210" s="162">
        <f t="shared" si="27"/>
        <v>51165</v>
      </c>
      <c r="D210" s="6">
        <f>IFERROR((PPMT(Input!$E$55/12,B210,$C$6,Input!$E$54,-Input!$E$65,0))," ")</f>
        <v>-7180.1605082083697</v>
      </c>
      <c r="E210" s="6">
        <f>IFERROR(((IPMT(Input!$E$55/12,B210,$C$6,Input!$E$54,-Input!$E$65,0)))," ")</f>
        <v>-3137.3744939617327</v>
      </c>
      <c r="F210" s="6">
        <f t="shared" si="29"/>
        <v>-922662.08909837529</v>
      </c>
      <c r="G210" s="6">
        <f t="shared" si="28"/>
        <v>-1068622.1663204539</v>
      </c>
      <c r="H210" s="6">
        <f t="shared" si="24"/>
        <v>-10317.535002170102</v>
      </c>
      <c r="I210" s="6">
        <f t="shared" si="25"/>
        <v>677337.91090162471</v>
      </c>
      <c r="J210" s="6" t="str">
        <f>IF(B210&lt;&gt;"",IF(AND(Input!$H$54="Annual",MOD(B210,12)=0),Input!$J$54,IF(AND(Input!$H$54="1st Installment",B210=1),Input!$J$54,IF(Input!$H$54="Monthly",Input!$J$54,""))),"")</f>
        <v/>
      </c>
      <c r="K210" s="6" t="str">
        <f>IF(B210&lt;&gt;"",IF(AND(Input!$H$55="Annual",MOD(B210,12)=0),Input!$J$55,IF(AND(Input!$H$55="1st Installment",B210=1),Input!$J$55,IF(Input!$H$55="Monthly",Input!$J$55,""))),"")</f>
        <v/>
      </c>
      <c r="L210" s="6">
        <f>IF(B210&lt;&gt;"",IF(AND(Input!$H$56="Annual",MOD(B210,12)=0),Input!$J$56,IF(AND(Input!$H$56="1st Installment",B210=1),Input!$J$56,IF(Input!$H$56="Monthly",Input!$J$56,""))),"")</f>
        <v>208.33333333333334</v>
      </c>
      <c r="M210" s="6" t="str">
        <f>IF(B210&lt;&gt;"",IF(AND(Input!$H$57="Annual",MOD(B210,12)=0),Input!$J$57,IF(AND(Input!$H$57="1st Installment",B210=1),Input!$J$57,IF(Input!$H$57="Monthly",Input!$J$57,""))),"")</f>
        <v/>
      </c>
      <c r="N210" s="6" t="str">
        <f>IF(B210&lt;&gt;"",IF(AND(Input!$H$58="Annual",MOD(B210,12)=0),Input!$J$58,IF(AND(Input!$H$58="1st Installment",B210=1),Input!$J$58,IF(Input!$H$58="Monthly",Input!$J$58,IF(AND(Input!$H$58="End of the loan",B210=Input!$E$58),Input!$J$58,"")))),"")</f>
        <v/>
      </c>
      <c r="O210" s="6">
        <f t="shared" si="30"/>
        <v>208.33333333333334</v>
      </c>
      <c r="P210" s="4">
        <f t="shared" si="31"/>
        <v>10525.868335503435</v>
      </c>
      <c r="T210" s="9">
        <f t="shared" ref="T210:T273" si="32">C210</f>
        <v>51165</v>
      </c>
      <c r="U210" s="5">
        <f t="shared" ref="U210:U273" si="33">IFERROR(ROUND(_xlfn.IFNA(VLOOKUP(T210,$C$18:$P$385,14,0),0),2)," ")</f>
        <v>10525.87</v>
      </c>
    </row>
    <row r="211" spans="2:21" x14ac:dyDescent="0.2">
      <c r="B211" s="181">
        <f t="shared" si="26"/>
        <v>194</v>
      </c>
      <c r="C211" s="162">
        <f t="shared" si="27"/>
        <v>51195</v>
      </c>
      <c r="D211" s="6">
        <f>IFERROR((PPMT(Input!$E$55/12,B211,$C$6,Input!$E$54,-Input!$E$65,0))," ")</f>
        <v>-7213.0695772043237</v>
      </c>
      <c r="E211" s="6">
        <f>IFERROR(((IPMT(Input!$E$55/12,B211,$C$6,Input!$E$54,-Input!$E$65,0)))," ")</f>
        <v>-3104.4654249657779</v>
      </c>
      <c r="F211" s="6">
        <f t="shared" si="29"/>
        <v>-929875.15867557959</v>
      </c>
      <c r="G211" s="6">
        <f t="shared" si="28"/>
        <v>-1071726.6317454197</v>
      </c>
      <c r="H211" s="6">
        <f t="shared" ref="H211:H274" si="34">+IF(B211=$C$6,(-$C$13+IFERROR(D211+E211,"")),IFERROR(D211+E211,""))</f>
        <v>-10317.535002170102</v>
      </c>
      <c r="I211" s="6">
        <f t="shared" ref="I211:I274" si="35">+IFERROR($C$8+F211,"")</f>
        <v>670124.84132442041</v>
      </c>
      <c r="J211" s="6" t="str">
        <f>IF(B211&lt;&gt;"",IF(AND(Input!$H$54="Annual",MOD(B211,12)=0),Input!$J$54,IF(AND(Input!$H$54="1st Installment",B211=1),Input!$J$54,IF(Input!$H$54="Monthly",Input!$J$54,""))),"")</f>
        <v/>
      </c>
      <c r="K211" s="6" t="str">
        <f>IF(B211&lt;&gt;"",IF(AND(Input!$H$55="Annual",MOD(B211,12)=0),Input!$J$55,IF(AND(Input!$H$55="1st Installment",B211=1),Input!$J$55,IF(Input!$H$55="Monthly",Input!$J$55,""))),"")</f>
        <v/>
      </c>
      <c r="L211" s="6">
        <f>IF(B211&lt;&gt;"",IF(AND(Input!$H$56="Annual",MOD(B211,12)=0),Input!$J$56,IF(AND(Input!$H$56="1st Installment",B211=1),Input!$J$56,IF(Input!$H$56="Monthly",Input!$J$56,""))),"")</f>
        <v>208.33333333333334</v>
      </c>
      <c r="M211" s="6" t="str">
        <f>IF(B211&lt;&gt;"",IF(AND(Input!$H$57="Annual",MOD(B211,12)=0),Input!$J$57,IF(AND(Input!$H$57="1st Installment",B211=1),Input!$J$57,IF(Input!$H$57="Monthly",Input!$J$57,""))),"")</f>
        <v/>
      </c>
      <c r="N211" s="6" t="str">
        <f>IF(B211&lt;&gt;"",IF(AND(Input!$H$58="Annual",MOD(B211,12)=0),Input!$J$58,IF(AND(Input!$H$58="1st Installment",B211=1),Input!$J$58,IF(Input!$H$58="Monthly",Input!$J$58,IF(AND(Input!$H$58="End of the loan",B211=Input!$E$58),Input!$J$58,"")))),"")</f>
        <v/>
      </c>
      <c r="O211" s="6">
        <f t="shared" si="30"/>
        <v>208.33333333333334</v>
      </c>
      <c r="P211" s="4">
        <f t="shared" si="31"/>
        <v>10525.868335503435</v>
      </c>
      <c r="T211" s="9">
        <f t="shared" si="32"/>
        <v>51195</v>
      </c>
      <c r="U211" s="5">
        <f t="shared" si="33"/>
        <v>10525.87</v>
      </c>
    </row>
    <row r="212" spans="2:21" x14ac:dyDescent="0.2">
      <c r="B212" s="181">
        <f t="shared" ref="B212:B275" si="36">IF(B211="","",IF((B211+1)&lt;=$C$6,B211+1,""))</f>
        <v>195</v>
      </c>
      <c r="C212" s="162">
        <f t="shared" ref="C212:C275" si="37">IF(B212="","",EDATE($C$18,(B212-1)))</f>
        <v>51225</v>
      </c>
      <c r="D212" s="6">
        <f>IFERROR((PPMT(Input!$E$55/12,B212,$C$6,Input!$E$54,-Input!$E$65,0))," ")</f>
        <v>-7246.129479433177</v>
      </c>
      <c r="E212" s="6">
        <f>IFERROR(((IPMT(Input!$E$55/12,B212,$C$6,Input!$E$54,-Input!$E$65,0)))," ")</f>
        <v>-3071.4055227369249</v>
      </c>
      <c r="F212" s="6">
        <f t="shared" si="29"/>
        <v>-937121.28815501276</v>
      </c>
      <c r="G212" s="6">
        <f t="shared" ref="G212:G275" si="38">IF(B212&lt;=$C$6,G211+E212,"")</f>
        <v>-1074798.0372681567</v>
      </c>
      <c r="H212" s="6">
        <f t="shared" si="34"/>
        <v>-10317.535002170102</v>
      </c>
      <c r="I212" s="6">
        <f t="shared" si="35"/>
        <v>662878.71184498724</v>
      </c>
      <c r="J212" s="6" t="str">
        <f>IF(B212&lt;&gt;"",IF(AND(Input!$H$54="Annual",MOD(B212,12)=0),Input!$J$54,IF(AND(Input!$H$54="1st Installment",B212=1),Input!$J$54,IF(Input!$H$54="Monthly",Input!$J$54,""))),"")</f>
        <v/>
      </c>
      <c r="K212" s="6" t="str">
        <f>IF(B212&lt;&gt;"",IF(AND(Input!$H$55="Annual",MOD(B212,12)=0),Input!$J$55,IF(AND(Input!$H$55="1st Installment",B212=1),Input!$J$55,IF(Input!$H$55="Monthly",Input!$J$55,""))),"")</f>
        <v/>
      </c>
      <c r="L212" s="6">
        <f>IF(B212&lt;&gt;"",IF(AND(Input!$H$56="Annual",MOD(B212,12)=0),Input!$J$56,IF(AND(Input!$H$56="1st Installment",B212=1),Input!$J$56,IF(Input!$H$56="Monthly",Input!$J$56,""))),"")</f>
        <v>208.33333333333334</v>
      </c>
      <c r="M212" s="6" t="str">
        <f>IF(B212&lt;&gt;"",IF(AND(Input!$H$57="Annual",MOD(B212,12)=0),Input!$J$57,IF(AND(Input!$H$57="1st Installment",B212=1),Input!$J$57,IF(Input!$H$57="Monthly",Input!$J$57,""))),"")</f>
        <v/>
      </c>
      <c r="N212" s="6" t="str">
        <f>IF(B212&lt;&gt;"",IF(AND(Input!$H$58="Annual",MOD(B212,12)=0),Input!$J$58,IF(AND(Input!$H$58="1st Installment",B212=1),Input!$J$58,IF(Input!$H$58="Monthly",Input!$J$58,IF(AND(Input!$H$58="End of the loan",B212=Input!$E$58),Input!$J$58,"")))),"")</f>
        <v/>
      </c>
      <c r="O212" s="6">
        <f t="shared" si="30"/>
        <v>208.33333333333334</v>
      </c>
      <c r="P212" s="4">
        <f t="shared" si="31"/>
        <v>10525.868335503435</v>
      </c>
      <c r="T212" s="9">
        <f t="shared" si="32"/>
        <v>51225</v>
      </c>
      <c r="U212" s="5">
        <f t="shared" si="33"/>
        <v>10525.87</v>
      </c>
    </row>
    <row r="213" spans="2:21" x14ac:dyDescent="0.2">
      <c r="B213" s="181">
        <f t="shared" si="36"/>
        <v>196</v>
      </c>
      <c r="C213" s="162">
        <f t="shared" si="37"/>
        <v>51256</v>
      </c>
      <c r="D213" s="6">
        <f>IFERROR((PPMT(Input!$E$55/12,B213,$C$6,Input!$E$54,-Input!$E$65,0))," ")</f>
        <v>-7279.3409062139117</v>
      </c>
      <c r="E213" s="6">
        <f>IFERROR(((IPMT(Input!$E$55/12,B213,$C$6,Input!$E$54,-Input!$E$65,0)))," ")</f>
        <v>-3038.1940959561894</v>
      </c>
      <c r="F213" s="6">
        <f t="shared" ref="F213:F276" si="39">IF(B213&lt;=$C$6,F212+D213,"")</f>
        <v>-944400.62906122673</v>
      </c>
      <c r="G213" s="6">
        <f t="shared" si="38"/>
        <v>-1077836.2313641128</v>
      </c>
      <c r="H213" s="6">
        <f t="shared" si="34"/>
        <v>-10317.535002170102</v>
      </c>
      <c r="I213" s="6">
        <f t="shared" si="35"/>
        <v>655599.37093877327</v>
      </c>
      <c r="J213" s="6" t="str">
        <f>IF(B213&lt;&gt;"",IF(AND(Input!$H$54="Annual",MOD(B213,12)=0),Input!$J$54,IF(AND(Input!$H$54="1st Installment",B213=1),Input!$J$54,IF(Input!$H$54="Monthly",Input!$J$54,""))),"")</f>
        <v/>
      </c>
      <c r="K213" s="6" t="str">
        <f>IF(B213&lt;&gt;"",IF(AND(Input!$H$55="Annual",MOD(B213,12)=0),Input!$J$55,IF(AND(Input!$H$55="1st Installment",B213=1),Input!$J$55,IF(Input!$H$55="Monthly",Input!$J$55,""))),"")</f>
        <v/>
      </c>
      <c r="L213" s="6">
        <f>IF(B213&lt;&gt;"",IF(AND(Input!$H$56="Annual",MOD(B213,12)=0),Input!$J$56,IF(AND(Input!$H$56="1st Installment",B213=1),Input!$J$56,IF(Input!$H$56="Monthly",Input!$J$56,""))),"")</f>
        <v>208.33333333333334</v>
      </c>
      <c r="M213" s="6" t="str">
        <f>IF(B213&lt;&gt;"",IF(AND(Input!$H$57="Annual",MOD(B213,12)=0),Input!$J$57,IF(AND(Input!$H$57="1st Installment",B213=1),Input!$J$57,IF(Input!$H$57="Monthly",Input!$J$57,""))),"")</f>
        <v/>
      </c>
      <c r="N213" s="6" t="str">
        <f>IF(B213&lt;&gt;"",IF(AND(Input!$H$58="Annual",MOD(B213,12)=0),Input!$J$58,IF(AND(Input!$H$58="1st Installment",B213=1),Input!$J$58,IF(Input!$H$58="Monthly",Input!$J$58,IF(AND(Input!$H$58="End of the loan",B213=Input!$E$58),Input!$J$58,"")))),"")</f>
        <v/>
      </c>
      <c r="O213" s="6">
        <f t="shared" si="30"/>
        <v>208.33333333333334</v>
      </c>
      <c r="P213" s="4">
        <f t="shared" si="31"/>
        <v>10525.868335503435</v>
      </c>
      <c r="T213" s="9">
        <f t="shared" si="32"/>
        <v>51256</v>
      </c>
      <c r="U213" s="5">
        <f t="shared" si="33"/>
        <v>10525.87</v>
      </c>
    </row>
    <row r="214" spans="2:21" x14ac:dyDescent="0.2">
      <c r="B214" s="181">
        <f t="shared" si="36"/>
        <v>197</v>
      </c>
      <c r="C214" s="162">
        <f t="shared" si="37"/>
        <v>51286</v>
      </c>
      <c r="D214" s="6">
        <f>IFERROR((PPMT(Input!$E$55/12,B214,$C$6,Input!$E$54,-Input!$E$65,0))," ")</f>
        <v>-7312.7045520340598</v>
      </c>
      <c r="E214" s="6">
        <f>IFERROR(((IPMT(Input!$E$55/12,B214,$C$6,Input!$E$54,-Input!$E$65,0)))," ")</f>
        <v>-3004.8304501360421</v>
      </c>
      <c r="F214" s="6">
        <f t="shared" si="39"/>
        <v>-951713.33361326077</v>
      </c>
      <c r="G214" s="6">
        <f t="shared" si="38"/>
        <v>-1080841.0618142488</v>
      </c>
      <c r="H214" s="6">
        <f t="shared" si="34"/>
        <v>-10317.535002170102</v>
      </c>
      <c r="I214" s="6">
        <f t="shared" si="35"/>
        <v>648286.66638673923</v>
      </c>
      <c r="J214" s="6" t="str">
        <f>IF(B214&lt;&gt;"",IF(AND(Input!$H$54="Annual",MOD(B214,12)=0),Input!$J$54,IF(AND(Input!$H$54="1st Installment",B214=1),Input!$J$54,IF(Input!$H$54="Monthly",Input!$J$54,""))),"")</f>
        <v/>
      </c>
      <c r="K214" s="6" t="str">
        <f>IF(B214&lt;&gt;"",IF(AND(Input!$H$55="Annual",MOD(B214,12)=0),Input!$J$55,IF(AND(Input!$H$55="1st Installment",B214=1),Input!$J$55,IF(Input!$H$55="Monthly",Input!$J$55,""))),"")</f>
        <v/>
      </c>
      <c r="L214" s="6">
        <f>IF(B214&lt;&gt;"",IF(AND(Input!$H$56="Annual",MOD(B214,12)=0),Input!$J$56,IF(AND(Input!$H$56="1st Installment",B214=1),Input!$J$56,IF(Input!$H$56="Monthly",Input!$J$56,""))),"")</f>
        <v>208.33333333333334</v>
      </c>
      <c r="M214" s="6" t="str">
        <f>IF(B214&lt;&gt;"",IF(AND(Input!$H$57="Annual",MOD(B214,12)=0),Input!$J$57,IF(AND(Input!$H$57="1st Installment",B214=1),Input!$J$57,IF(Input!$H$57="Monthly",Input!$J$57,""))),"")</f>
        <v/>
      </c>
      <c r="N214" s="6" t="str">
        <f>IF(B214&lt;&gt;"",IF(AND(Input!$H$58="Annual",MOD(B214,12)=0),Input!$J$58,IF(AND(Input!$H$58="1st Installment",B214=1),Input!$J$58,IF(Input!$H$58="Monthly",Input!$J$58,IF(AND(Input!$H$58="End of the loan",B214=Input!$E$58),Input!$J$58,"")))),"")</f>
        <v/>
      </c>
      <c r="O214" s="6">
        <f t="shared" si="30"/>
        <v>208.33333333333334</v>
      </c>
      <c r="P214" s="4">
        <f t="shared" si="31"/>
        <v>10525.868335503435</v>
      </c>
      <c r="T214" s="9">
        <f t="shared" si="32"/>
        <v>51286</v>
      </c>
      <c r="U214" s="5">
        <f t="shared" si="33"/>
        <v>10525.87</v>
      </c>
    </row>
    <row r="215" spans="2:21" x14ac:dyDescent="0.2">
      <c r="B215" s="181">
        <f t="shared" si="36"/>
        <v>198</v>
      </c>
      <c r="C215" s="162">
        <f t="shared" si="37"/>
        <v>51317</v>
      </c>
      <c r="D215" s="6">
        <f>IFERROR((PPMT(Input!$E$55/12,B215,$C$6,Input!$E$54,-Input!$E$65,0))," ")</f>
        <v>-7346.2211145642159</v>
      </c>
      <c r="E215" s="6">
        <f>IFERROR(((IPMT(Input!$E$55/12,B215,$C$6,Input!$E$54,-Input!$E$65,0)))," ")</f>
        <v>-2971.3138876058861</v>
      </c>
      <c r="F215" s="6">
        <f t="shared" si="39"/>
        <v>-959059.55472782499</v>
      </c>
      <c r="G215" s="6">
        <f t="shared" si="38"/>
        <v>-1083812.3757018547</v>
      </c>
      <c r="H215" s="6">
        <f t="shared" si="34"/>
        <v>-10317.535002170102</v>
      </c>
      <c r="I215" s="6">
        <f t="shared" si="35"/>
        <v>640940.44527217501</v>
      </c>
      <c r="J215" s="6" t="str">
        <f>IF(B215&lt;&gt;"",IF(AND(Input!$H$54="Annual",MOD(B215,12)=0),Input!$J$54,IF(AND(Input!$H$54="1st Installment",B215=1),Input!$J$54,IF(Input!$H$54="Monthly",Input!$J$54,""))),"")</f>
        <v/>
      </c>
      <c r="K215" s="6" t="str">
        <f>IF(B215&lt;&gt;"",IF(AND(Input!$H$55="Annual",MOD(B215,12)=0),Input!$J$55,IF(AND(Input!$H$55="1st Installment",B215=1),Input!$J$55,IF(Input!$H$55="Monthly",Input!$J$55,""))),"")</f>
        <v/>
      </c>
      <c r="L215" s="6">
        <f>IF(B215&lt;&gt;"",IF(AND(Input!$H$56="Annual",MOD(B215,12)=0),Input!$J$56,IF(AND(Input!$H$56="1st Installment",B215=1),Input!$J$56,IF(Input!$H$56="Monthly",Input!$J$56,""))),"")</f>
        <v>208.33333333333334</v>
      </c>
      <c r="M215" s="6" t="str">
        <f>IF(B215&lt;&gt;"",IF(AND(Input!$H$57="Annual",MOD(B215,12)=0),Input!$J$57,IF(AND(Input!$H$57="1st Installment",B215=1),Input!$J$57,IF(Input!$H$57="Monthly",Input!$J$57,""))),"")</f>
        <v/>
      </c>
      <c r="N215" s="6" t="str">
        <f>IF(B215&lt;&gt;"",IF(AND(Input!$H$58="Annual",MOD(B215,12)=0),Input!$J$58,IF(AND(Input!$H$58="1st Installment",B215=1),Input!$J$58,IF(Input!$H$58="Monthly",Input!$J$58,IF(AND(Input!$H$58="End of the loan",B215=Input!$E$58),Input!$J$58,"")))),"")</f>
        <v/>
      </c>
      <c r="O215" s="6">
        <f t="shared" si="30"/>
        <v>208.33333333333334</v>
      </c>
      <c r="P215" s="4">
        <f t="shared" si="31"/>
        <v>10525.868335503435</v>
      </c>
      <c r="T215" s="9">
        <f t="shared" si="32"/>
        <v>51317</v>
      </c>
      <c r="U215" s="5">
        <f t="shared" si="33"/>
        <v>10525.87</v>
      </c>
    </row>
    <row r="216" spans="2:21" x14ac:dyDescent="0.2">
      <c r="B216" s="181">
        <f t="shared" si="36"/>
        <v>199</v>
      </c>
      <c r="C216" s="162">
        <f t="shared" si="37"/>
        <v>51347</v>
      </c>
      <c r="D216" s="6">
        <f>IFERROR((PPMT(Input!$E$55/12,B216,$C$6,Input!$E$54,-Input!$E$65,0))," ")</f>
        <v>-7379.8912946726341</v>
      </c>
      <c r="E216" s="6">
        <f>IFERROR(((IPMT(Input!$E$55/12,B216,$C$6,Input!$E$54,-Input!$E$65,0)))," ")</f>
        <v>-2937.6437074974674</v>
      </c>
      <c r="F216" s="6">
        <f t="shared" si="39"/>
        <v>-966439.44602249761</v>
      </c>
      <c r="G216" s="6">
        <f t="shared" si="38"/>
        <v>-1086750.0194093522</v>
      </c>
      <c r="H216" s="6">
        <f t="shared" si="34"/>
        <v>-10317.535002170102</v>
      </c>
      <c r="I216" s="6">
        <f t="shared" si="35"/>
        <v>633560.55397750239</v>
      </c>
      <c r="J216" s="6" t="str">
        <f>IF(B216&lt;&gt;"",IF(AND(Input!$H$54="Annual",MOD(B216,12)=0),Input!$J$54,IF(AND(Input!$H$54="1st Installment",B216=1),Input!$J$54,IF(Input!$H$54="Monthly",Input!$J$54,""))),"")</f>
        <v/>
      </c>
      <c r="K216" s="6" t="str">
        <f>IF(B216&lt;&gt;"",IF(AND(Input!$H$55="Annual",MOD(B216,12)=0),Input!$J$55,IF(AND(Input!$H$55="1st Installment",B216=1),Input!$J$55,IF(Input!$H$55="Monthly",Input!$J$55,""))),"")</f>
        <v/>
      </c>
      <c r="L216" s="6">
        <f>IF(B216&lt;&gt;"",IF(AND(Input!$H$56="Annual",MOD(B216,12)=0),Input!$J$56,IF(AND(Input!$H$56="1st Installment",B216=1),Input!$J$56,IF(Input!$H$56="Monthly",Input!$J$56,""))),"")</f>
        <v>208.33333333333334</v>
      </c>
      <c r="M216" s="6" t="str">
        <f>IF(B216&lt;&gt;"",IF(AND(Input!$H$57="Annual",MOD(B216,12)=0),Input!$J$57,IF(AND(Input!$H$57="1st Installment",B216=1),Input!$J$57,IF(Input!$H$57="Monthly",Input!$J$57,""))),"")</f>
        <v/>
      </c>
      <c r="N216" s="6" t="str">
        <f>IF(B216&lt;&gt;"",IF(AND(Input!$H$58="Annual",MOD(B216,12)=0),Input!$J$58,IF(AND(Input!$H$58="1st Installment",B216=1),Input!$J$58,IF(Input!$H$58="Monthly",Input!$J$58,IF(AND(Input!$H$58="End of the loan",B216=Input!$E$58),Input!$J$58,"")))),"")</f>
        <v/>
      </c>
      <c r="O216" s="6">
        <f t="shared" si="30"/>
        <v>208.33333333333334</v>
      </c>
      <c r="P216" s="4">
        <f t="shared" si="31"/>
        <v>10525.868335503435</v>
      </c>
      <c r="T216" s="9">
        <f t="shared" si="32"/>
        <v>51347</v>
      </c>
      <c r="U216" s="5">
        <f t="shared" si="33"/>
        <v>10525.87</v>
      </c>
    </row>
    <row r="217" spans="2:21" x14ac:dyDescent="0.2">
      <c r="B217" s="181">
        <f t="shared" si="36"/>
        <v>200</v>
      </c>
      <c r="C217" s="162">
        <f t="shared" si="37"/>
        <v>51378</v>
      </c>
      <c r="D217" s="6">
        <f>IFERROR((PPMT(Input!$E$55/12,B217,$C$6,Input!$E$54,-Input!$E$65,0))," ")</f>
        <v>-7413.7157964398839</v>
      </c>
      <c r="E217" s="6">
        <f>IFERROR(((IPMT(Input!$E$55/12,B217,$C$6,Input!$E$54,-Input!$E$65,0)))," ")</f>
        <v>-2903.8192057302172</v>
      </c>
      <c r="F217" s="6">
        <f t="shared" si="39"/>
        <v>-973853.16181893751</v>
      </c>
      <c r="G217" s="6">
        <f t="shared" si="38"/>
        <v>-1089653.8386150824</v>
      </c>
      <c r="H217" s="6">
        <f t="shared" si="34"/>
        <v>-10317.535002170102</v>
      </c>
      <c r="I217" s="6">
        <f t="shared" si="35"/>
        <v>626146.83818106249</v>
      </c>
      <c r="J217" s="6" t="str">
        <f>IF(B217&lt;&gt;"",IF(AND(Input!$H$54="Annual",MOD(B217,12)=0),Input!$J$54,IF(AND(Input!$H$54="1st Installment",B217=1),Input!$J$54,IF(Input!$H$54="Monthly",Input!$J$54,""))),"")</f>
        <v/>
      </c>
      <c r="K217" s="6" t="str">
        <f>IF(B217&lt;&gt;"",IF(AND(Input!$H$55="Annual",MOD(B217,12)=0),Input!$J$55,IF(AND(Input!$H$55="1st Installment",B217=1),Input!$J$55,IF(Input!$H$55="Monthly",Input!$J$55,""))),"")</f>
        <v/>
      </c>
      <c r="L217" s="6">
        <f>IF(B217&lt;&gt;"",IF(AND(Input!$H$56="Annual",MOD(B217,12)=0),Input!$J$56,IF(AND(Input!$H$56="1st Installment",B217=1),Input!$J$56,IF(Input!$H$56="Monthly",Input!$J$56,""))),"")</f>
        <v>208.33333333333334</v>
      </c>
      <c r="M217" s="6" t="str">
        <f>IF(B217&lt;&gt;"",IF(AND(Input!$H$57="Annual",MOD(B217,12)=0),Input!$J$57,IF(AND(Input!$H$57="1st Installment",B217=1),Input!$J$57,IF(Input!$H$57="Monthly",Input!$J$57,""))),"")</f>
        <v/>
      </c>
      <c r="N217" s="6" t="str">
        <f>IF(B217&lt;&gt;"",IF(AND(Input!$H$58="Annual",MOD(B217,12)=0),Input!$J$58,IF(AND(Input!$H$58="1st Installment",B217=1),Input!$J$58,IF(Input!$H$58="Monthly",Input!$J$58,IF(AND(Input!$H$58="End of the loan",B217=Input!$E$58),Input!$J$58,"")))),"")</f>
        <v/>
      </c>
      <c r="O217" s="6">
        <f t="shared" si="30"/>
        <v>208.33333333333334</v>
      </c>
      <c r="P217" s="4">
        <f t="shared" si="31"/>
        <v>10525.868335503435</v>
      </c>
      <c r="T217" s="9">
        <f t="shared" si="32"/>
        <v>51378</v>
      </c>
      <c r="U217" s="5">
        <f t="shared" si="33"/>
        <v>10525.87</v>
      </c>
    </row>
    <row r="218" spans="2:21" x14ac:dyDescent="0.2">
      <c r="B218" s="181">
        <f t="shared" si="36"/>
        <v>201</v>
      </c>
      <c r="C218" s="162">
        <f t="shared" si="37"/>
        <v>51409</v>
      </c>
      <c r="D218" s="6">
        <f>IFERROR((PPMT(Input!$E$55/12,B218,$C$6,Input!$E$54,-Input!$E$65,0))," ")</f>
        <v>-7447.6953271735665</v>
      </c>
      <c r="E218" s="6">
        <f>IFERROR(((IPMT(Input!$E$55/12,B218,$C$6,Input!$E$54,-Input!$E$65,0)))," ")</f>
        <v>-2869.839674996535</v>
      </c>
      <c r="F218" s="6">
        <f t="shared" si="39"/>
        <v>-981300.85714611108</v>
      </c>
      <c r="G218" s="6">
        <f t="shared" si="38"/>
        <v>-1092523.6782900789</v>
      </c>
      <c r="H218" s="6">
        <f t="shared" si="34"/>
        <v>-10317.535002170102</v>
      </c>
      <c r="I218" s="6">
        <f t="shared" si="35"/>
        <v>618699.14285388892</v>
      </c>
      <c r="J218" s="6" t="str">
        <f>IF(B218&lt;&gt;"",IF(AND(Input!$H$54="Annual",MOD(B218,12)=0),Input!$J$54,IF(AND(Input!$H$54="1st Installment",B218=1),Input!$J$54,IF(Input!$H$54="Monthly",Input!$J$54,""))),"")</f>
        <v/>
      </c>
      <c r="K218" s="6" t="str">
        <f>IF(B218&lt;&gt;"",IF(AND(Input!$H$55="Annual",MOD(B218,12)=0),Input!$J$55,IF(AND(Input!$H$55="1st Installment",B218=1),Input!$J$55,IF(Input!$H$55="Monthly",Input!$J$55,""))),"")</f>
        <v/>
      </c>
      <c r="L218" s="6">
        <f>IF(B218&lt;&gt;"",IF(AND(Input!$H$56="Annual",MOD(B218,12)=0),Input!$J$56,IF(AND(Input!$H$56="1st Installment",B218=1),Input!$J$56,IF(Input!$H$56="Monthly",Input!$J$56,""))),"")</f>
        <v>208.33333333333334</v>
      </c>
      <c r="M218" s="6" t="str">
        <f>IF(B218&lt;&gt;"",IF(AND(Input!$H$57="Annual",MOD(B218,12)=0),Input!$J$57,IF(AND(Input!$H$57="1st Installment",B218=1),Input!$J$57,IF(Input!$H$57="Monthly",Input!$J$57,""))),"")</f>
        <v/>
      </c>
      <c r="N218" s="6" t="str">
        <f>IF(B218&lt;&gt;"",IF(AND(Input!$H$58="Annual",MOD(B218,12)=0),Input!$J$58,IF(AND(Input!$H$58="1st Installment",B218=1),Input!$J$58,IF(Input!$H$58="Monthly",Input!$J$58,IF(AND(Input!$H$58="End of the loan",B218=Input!$E$58),Input!$J$58,"")))),"")</f>
        <v/>
      </c>
      <c r="O218" s="6">
        <f t="shared" si="30"/>
        <v>208.33333333333334</v>
      </c>
      <c r="P218" s="4">
        <f t="shared" si="31"/>
        <v>10525.868335503435</v>
      </c>
      <c r="T218" s="9">
        <f t="shared" si="32"/>
        <v>51409</v>
      </c>
      <c r="U218" s="5">
        <f t="shared" si="33"/>
        <v>10525.87</v>
      </c>
    </row>
    <row r="219" spans="2:21" x14ac:dyDescent="0.2">
      <c r="B219" s="181">
        <f t="shared" si="36"/>
        <v>202</v>
      </c>
      <c r="C219" s="162">
        <f t="shared" si="37"/>
        <v>51439</v>
      </c>
      <c r="D219" s="6">
        <f>IFERROR((PPMT(Input!$E$55/12,B219,$C$6,Input!$E$54,-Input!$E$65,0))," ")</f>
        <v>-7481.8305974231125</v>
      </c>
      <c r="E219" s="6">
        <f>IFERROR(((IPMT(Input!$E$55/12,B219,$C$6,Input!$E$54,-Input!$E$65,0)))," ")</f>
        <v>-2835.7044047469885</v>
      </c>
      <c r="F219" s="6">
        <f t="shared" si="39"/>
        <v>-988782.68774353422</v>
      </c>
      <c r="G219" s="6">
        <f t="shared" si="38"/>
        <v>-1095359.3826948258</v>
      </c>
      <c r="H219" s="6">
        <f t="shared" si="34"/>
        <v>-10317.535002170102</v>
      </c>
      <c r="I219" s="6">
        <f t="shared" si="35"/>
        <v>611217.31225646578</v>
      </c>
      <c r="J219" s="6" t="str">
        <f>IF(B219&lt;&gt;"",IF(AND(Input!$H$54="Annual",MOD(B219,12)=0),Input!$J$54,IF(AND(Input!$H$54="1st Installment",B219=1),Input!$J$54,IF(Input!$H$54="Monthly",Input!$J$54,""))),"")</f>
        <v/>
      </c>
      <c r="K219" s="6" t="str">
        <f>IF(B219&lt;&gt;"",IF(AND(Input!$H$55="Annual",MOD(B219,12)=0),Input!$J$55,IF(AND(Input!$H$55="1st Installment",B219=1),Input!$J$55,IF(Input!$H$55="Monthly",Input!$J$55,""))),"")</f>
        <v/>
      </c>
      <c r="L219" s="6">
        <f>IF(B219&lt;&gt;"",IF(AND(Input!$H$56="Annual",MOD(B219,12)=0),Input!$J$56,IF(AND(Input!$H$56="1st Installment",B219=1),Input!$J$56,IF(Input!$H$56="Monthly",Input!$J$56,""))),"")</f>
        <v>208.33333333333334</v>
      </c>
      <c r="M219" s="6" t="str">
        <f>IF(B219&lt;&gt;"",IF(AND(Input!$H$57="Annual",MOD(B219,12)=0),Input!$J$57,IF(AND(Input!$H$57="1st Installment",B219=1),Input!$J$57,IF(Input!$H$57="Monthly",Input!$J$57,""))),"")</f>
        <v/>
      </c>
      <c r="N219" s="6" t="str">
        <f>IF(B219&lt;&gt;"",IF(AND(Input!$H$58="Annual",MOD(B219,12)=0),Input!$J$58,IF(AND(Input!$H$58="1st Installment",B219=1),Input!$J$58,IF(Input!$H$58="Monthly",Input!$J$58,IF(AND(Input!$H$58="End of the loan",B219=Input!$E$58),Input!$J$58,"")))),"")</f>
        <v/>
      </c>
      <c r="O219" s="6">
        <f t="shared" si="30"/>
        <v>208.33333333333334</v>
      </c>
      <c r="P219" s="4">
        <f t="shared" si="31"/>
        <v>10525.868335503435</v>
      </c>
      <c r="T219" s="9">
        <f t="shared" si="32"/>
        <v>51439</v>
      </c>
      <c r="U219" s="5">
        <f t="shared" si="33"/>
        <v>10525.87</v>
      </c>
    </row>
    <row r="220" spans="2:21" x14ac:dyDescent="0.2">
      <c r="B220" s="181">
        <f t="shared" si="36"/>
        <v>203</v>
      </c>
      <c r="C220" s="162">
        <f t="shared" si="37"/>
        <v>51470</v>
      </c>
      <c r="D220" s="6">
        <f>IFERROR((PPMT(Input!$E$55/12,B220,$C$6,Input!$E$54,-Input!$E$65,0))," ")</f>
        <v>-7516.1223209946347</v>
      </c>
      <c r="E220" s="6">
        <f>IFERROR(((IPMT(Input!$E$55/12,B220,$C$6,Input!$E$54,-Input!$E$65,0)))," ")</f>
        <v>-2801.4126811754668</v>
      </c>
      <c r="F220" s="6">
        <f t="shared" si="39"/>
        <v>-996298.81006452884</v>
      </c>
      <c r="G220" s="6">
        <f t="shared" si="38"/>
        <v>-1098160.7953760012</v>
      </c>
      <c r="H220" s="6">
        <f t="shared" si="34"/>
        <v>-10317.535002170102</v>
      </c>
      <c r="I220" s="6">
        <f t="shared" si="35"/>
        <v>603701.18993547116</v>
      </c>
      <c r="J220" s="6" t="str">
        <f>IF(B220&lt;&gt;"",IF(AND(Input!$H$54="Annual",MOD(B220,12)=0),Input!$J$54,IF(AND(Input!$H$54="1st Installment",B220=1),Input!$J$54,IF(Input!$H$54="Monthly",Input!$J$54,""))),"")</f>
        <v/>
      </c>
      <c r="K220" s="6" t="str">
        <f>IF(B220&lt;&gt;"",IF(AND(Input!$H$55="Annual",MOD(B220,12)=0),Input!$J$55,IF(AND(Input!$H$55="1st Installment",B220=1),Input!$J$55,IF(Input!$H$55="Monthly",Input!$J$55,""))),"")</f>
        <v/>
      </c>
      <c r="L220" s="6">
        <f>IF(B220&lt;&gt;"",IF(AND(Input!$H$56="Annual",MOD(B220,12)=0),Input!$J$56,IF(AND(Input!$H$56="1st Installment",B220=1),Input!$J$56,IF(Input!$H$56="Monthly",Input!$J$56,""))),"")</f>
        <v>208.33333333333334</v>
      </c>
      <c r="M220" s="6" t="str">
        <f>IF(B220&lt;&gt;"",IF(AND(Input!$H$57="Annual",MOD(B220,12)=0),Input!$J$57,IF(AND(Input!$H$57="1st Installment",B220=1),Input!$J$57,IF(Input!$H$57="Monthly",Input!$J$57,""))),"")</f>
        <v/>
      </c>
      <c r="N220" s="6" t="str">
        <f>IF(B220&lt;&gt;"",IF(AND(Input!$H$58="Annual",MOD(B220,12)=0),Input!$J$58,IF(AND(Input!$H$58="1st Installment",B220=1),Input!$J$58,IF(Input!$H$58="Monthly",Input!$J$58,IF(AND(Input!$H$58="End of the loan",B220=Input!$E$58),Input!$J$58,"")))),"")</f>
        <v/>
      </c>
      <c r="O220" s="6">
        <f t="shared" si="30"/>
        <v>208.33333333333334</v>
      </c>
      <c r="P220" s="4">
        <f t="shared" si="31"/>
        <v>10525.868335503435</v>
      </c>
      <c r="T220" s="9">
        <f t="shared" si="32"/>
        <v>51470</v>
      </c>
      <c r="U220" s="5">
        <f t="shared" si="33"/>
        <v>10525.87</v>
      </c>
    </row>
    <row r="221" spans="2:21" x14ac:dyDescent="0.2">
      <c r="B221" s="181">
        <f t="shared" si="36"/>
        <v>204</v>
      </c>
      <c r="C221" s="162">
        <f t="shared" si="37"/>
        <v>51500</v>
      </c>
      <c r="D221" s="6">
        <f>IFERROR((PPMT(Input!$E$55/12,B221,$C$6,Input!$E$54,-Input!$E$65,0))," ")</f>
        <v>-7550.5712149658593</v>
      </c>
      <c r="E221" s="6">
        <f>IFERROR(((IPMT(Input!$E$55/12,B221,$C$6,Input!$E$54,-Input!$E$65,0)))," ")</f>
        <v>-2766.9637872042408</v>
      </c>
      <c r="F221" s="6">
        <f t="shared" si="39"/>
        <v>-1003849.3812794947</v>
      </c>
      <c r="G221" s="6">
        <f t="shared" si="38"/>
        <v>-1100927.7591632055</v>
      </c>
      <c r="H221" s="6">
        <f t="shared" si="34"/>
        <v>-10317.5350021701</v>
      </c>
      <c r="I221" s="6">
        <f t="shared" si="35"/>
        <v>596150.61872050527</v>
      </c>
      <c r="J221" s="6" t="str">
        <f>IF(B221&lt;&gt;"",IF(AND(Input!$H$54="Annual",MOD(B221,12)=0),Input!$J$54,IF(AND(Input!$H$54="1st Installment",B221=1),Input!$J$54,IF(Input!$H$54="Monthly",Input!$J$54,""))),"")</f>
        <v/>
      </c>
      <c r="K221" s="6">
        <f>IF(B221&lt;&gt;"",IF(AND(Input!$H$55="Annual",MOD(B221,12)=0),Input!$J$55,IF(AND(Input!$H$55="1st Installment",B221=1),Input!$J$55,IF(Input!$H$55="Monthly",Input!$J$55,""))),"")</f>
        <v>0</v>
      </c>
      <c r="L221" s="6">
        <f>IF(B221&lt;&gt;"",IF(AND(Input!$H$56="Annual",MOD(B221,12)=0),Input!$J$56,IF(AND(Input!$H$56="1st Installment",B221=1),Input!$J$56,IF(Input!$H$56="Monthly",Input!$J$56,""))),"")</f>
        <v>208.33333333333334</v>
      </c>
      <c r="M221" s="6" t="str">
        <f>IF(B221&lt;&gt;"",IF(AND(Input!$H$57="Annual",MOD(B221,12)=0),Input!$J$57,IF(AND(Input!$H$57="1st Installment",B221=1),Input!$J$57,IF(Input!$H$57="Monthly",Input!$J$57,""))),"")</f>
        <v/>
      </c>
      <c r="N221" s="6">
        <f>IF(B221&lt;&gt;"",IF(AND(Input!$H$58="Annual",MOD(B221,12)=0),Input!$J$58,IF(AND(Input!$H$58="1st Installment",B221=1),Input!$J$58,IF(Input!$H$58="Monthly",Input!$J$58,IF(AND(Input!$H$58="End of the loan",B221=Input!$E$58),Input!$J$58,"")))),"")</f>
        <v>0</v>
      </c>
      <c r="O221" s="6">
        <f t="shared" si="30"/>
        <v>208.33333333333334</v>
      </c>
      <c r="P221" s="4">
        <f t="shared" si="31"/>
        <v>10525.868335503434</v>
      </c>
      <c r="T221" s="9">
        <f t="shared" si="32"/>
        <v>51500</v>
      </c>
      <c r="U221" s="5">
        <f t="shared" si="33"/>
        <v>10525.87</v>
      </c>
    </row>
    <row r="222" spans="2:21" x14ac:dyDescent="0.2">
      <c r="B222" s="181">
        <f t="shared" si="36"/>
        <v>205</v>
      </c>
      <c r="C222" s="162">
        <f t="shared" si="37"/>
        <v>51531</v>
      </c>
      <c r="D222" s="6">
        <f>IFERROR((PPMT(Input!$E$55/12,B222,$C$6,Input!$E$54,-Input!$E$65,0))," ")</f>
        <v>-7585.1779997011208</v>
      </c>
      <c r="E222" s="6">
        <f>IFERROR(((IPMT(Input!$E$55/12,B222,$C$6,Input!$E$54,-Input!$E$65,0)))," ")</f>
        <v>-2732.3570024689807</v>
      </c>
      <c r="F222" s="6">
        <f t="shared" si="39"/>
        <v>-1011434.5592791958</v>
      </c>
      <c r="G222" s="6">
        <f t="shared" si="38"/>
        <v>-1103660.1161656745</v>
      </c>
      <c r="H222" s="6">
        <f t="shared" si="34"/>
        <v>-10317.535002170102</v>
      </c>
      <c r="I222" s="6">
        <f t="shared" si="35"/>
        <v>588565.44072080415</v>
      </c>
      <c r="J222" s="6" t="str">
        <f>IF(B222&lt;&gt;"",IF(AND(Input!$H$54="Annual",MOD(B222,12)=0),Input!$J$54,IF(AND(Input!$H$54="1st Installment",B222=1),Input!$J$54,IF(Input!$H$54="Monthly",Input!$J$54,""))),"")</f>
        <v/>
      </c>
      <c r="K222" s="6" t="str">
        <f>IF(B222&lt;&gt;"",IF(AND(Input!$H$55="Annual",MOD(B222,12)=0),Input!$J$55,IF(AND(Input!$H$55="1st Installment",B222=1),Input!$J$55,IF(Input!$H$55="Monthly",Input!$J$55,""))),"")</f>
        <v/>
      </c>
      <c r="L222" s="6">
        <f>IF(B222&lt;&gt;"",IF(AND(Input!$H$56="Annual",MOD(B222,12)=0),Input!$J$56,IF(AND(Input!$H$56="1st Installment",B222=1),Input!$J$56,IF(Input!$H$56="Monthly",Input!$J$56,""))),"")</f>
        <v>208.33333333333334</v>
      </c>
      <c r="M222" s="6" t="str">
        <f>IF(B222&lt;&gt;"",IF(AND(Input!$H$57="Annual",MOD(B222,12)=0),Input!$J$57,IF(AND(Input!$H$57="1st Installment",B222=1),Input!$J$57,IF(Input!$H$57="Monthly",Input!$J$57,""))),"")</f>
        <v/>
      </c>
      <c r="N222" s="6" t="str">
        <f>IF(B222&lt;&gt;"",IF(AND(Input!$H$58="Annual",MOD(B222,12)=0),Input!$J$58,IF(AND(Input!$H$58="1st Installment",B222=1),Input!$J$58,IF(Input!$H$58="Monthly",Input!$J$58,IF(AND(Input!$H$58="End of the loan",B222=Input!$E$58),Input!$J$58,"")))),"")</f>
        <v/>
      </c>
      <c r="O222" s="6">
        <f t="shared" si="30"/>
        <v>208.33333333333334</v>
      </c>
      <c r="P222" s="4">
        <f t="shared" si="31"/>
        <v>10525.868335503435</v>
      </c>
      <c r="T222" s="9">
        <f t="shared" si="32"/>
        <v>51531</v>
      </c>
      <c r="U222" s="5">
        <f t="shared" si="33"/>
        <v>10525.87</v>
      </c>
    </row>
    <row r="223" spans="2:21" x14ac:dyDescent="0.2">
      <c r="B223" s="181">
        <f t="shared" si="36"/>
        <v>206</v>
      </c>
      <c r="C223" s="162">
        <f t="shared" si="37"/>
        <v>51560</v>
      </c>
      <c r="D223" s="6">
        <f>IFERROR((PPMT(Input!$E$55/12,B223,$C$6,Input!$E$54,-Input!$E$65,0))," ")</f>
        <v>-7619.9433988664177</v>
      </c>
      <c r="E223" s="6">
        <f>IFERROR(((IPMT(Input!$E$55/12,B223,$C$6,Input!$E$54,-Input!$E$65,0)))," ")</f>
        <v>-2697.5916033036842</v>
      </c>
      <c r="F223" s="6">
        <f t="shared" si="39"/>
        <v>-1019054.5026780623</v>
      </c>
      <c r="G223" s="6">
        <f t="shared" si="38"/>
        <v>-1106357.7077689783</v>
      </c>
      <c r="H223" s="6">
        <f t="shared" si="34"/>
        <v>-10317.535002170102</v>
      </c>
      <c r="I223" s="6">
        <f t="shared" si="35"/>
        <v>580945.4973219377</v>
      </c>
      <c r="J223" s="6" t="str">
        <f>IF(B223&lt;&gt;"",IF(AND(Input!$H$54="Annual",MOD(B223,12)=0),Input!$J$54,IF(AND(Input!$H$54="1st Installment",B223=1),Input!$J$54,IF(Input!$H$54="Monthly",Input!$J$54,""))),"")</f>
        <v/>
      </c>
      <c r="K223" s="6" t="str">
        <f>IF(B223&lt;&gt;"",IF(AND(Input!$H$55="Annual",MOD(B223,12)=0),Input!$J$55,IF(AND(Input!$H$55="1st Installment",B223=1),Input!$J$55,IF(Input!$H$55="Monthly",Input!$J$55,""))),"")</f>
        <v/>
      </c>
      <c r="L223" s="6">
        <f>IF(B223&lt;&gt;"",IF(AND(Input!$H$56="Annual",MOD(B223,12)=0),Input!$J$56,IF(AND(Input!$H$56="1st Installment",B223=1),Input!$J$56,IF(Input!$H$56="Monthly",Input!$J$56,""))),"")</f>
        <v>208.33333333333334</v>
      </c>
      <c r="M223" s="6" t="str">
        <f>IF(B223&lt;&gt;"",IF(AND(Input!$H$57="Annual",MOD(B223,12)=0),Input!$J$57,IF(AND(Input!$H$57="1st Installment",B223=1),Input!$J$57,IF(Input!$H$57="Monthly",Input!$J$57,""))),"")</f>
        <v/>
      </c>
      <c r="N223" s="6" t="str">
        <f>IF(B223&lt;&gt;"",IF(AND(Input!$H$58="Annual",MOD(B223,12)=0),Input!$J$58,IF(AND(Input!$H$58="1st Installment",B223=1),Input!$J$58,IF(Input!$H$58="Monthly",Input!$J$58,IF(AND(Input!$H$58="End of the loan",B223=Input!$E$58),Input!$J$58,"")))),"")</f>
        <v/>
      </c>
      <c r="O223" s="6">
        <f t="shared" si="30"/>
        <v>208.33333333333334</v>
      </c>
      <c r="P223" s="4">
        <f t="shared" si="31"/>
        <v>10525.868335503435</v>
      </c>
      <c r="T223" s="9">
        <f t="shared" si="32"/>
        <v>51560</v>
      </c>
      <c r="U223" s="5">
        <f t="shared" si="33"/>
        <v>10525.87</v>
      </c>
    </row>
    <row r="224" spans="2:21" x14ac:dyDescent="0.2">
      <c r="B224" s="181">
        <f t="shared" si="36"/>
        <v>207</v>
      </c>
      <c r="C224" s="162">
        <f t="shared" si="37"/>
        <v>51590</v>
      </c>
      <c r="D224" s="6">
        <f>IFERROR((PPMT(Input!$E$55/12,B224,$C$6,Input!$E$54,-Input!$E$65,0))," ")</f>
        <v>-7654.8681394445548</v>
      </c>
      <c r="E224" s="6">
        <f>IFERROR(((IPMT(Input!$E$55/12,B224,$C$6,Input!$E$54,-Input!$E$65,0)))," ")</f>
        <v>-2662.6668627255458</v>
      </c>
      <c r="F224" s="6">
        <f t="shared" si="39"/>
        <v>-1026709.3708175068</v>
      </c>
      <c r="G224" s="6">
        <f t="shared" si="38"/>
        <v>-1109020.3746317038</v>
      </c>
      <c r="H224" s="6">
        <f t="shared" si="34"/>
        <v>-10317.535002170102</v>
      </c>
      <c r="I224" s="6">
        <f t="shared" si="35"/>
        <v>573290.6291824932</v>
      </c>
      <c r="J224" s="6" t="str">
        <f>IF(B224&lt;&gt;"",IF(AND(Input!$H$54="Annual",MOD(B224,12)=0),Input!$J$54,IF(AND(Input!$H$54="1st Installment",B224=1),Input!$J$54,IF(Input!$H$54="Monthly",Input!$J$54,""))),"")</f>
        <v/>
      </c>
      <c r="K224" s="6" t="str">
        <f>IF(B224&lt;&gt;"",IF(AND(Input!$H$55="Annual",MOD(B224,12)=0),Input!$J$55,IF(AND(Input!$H$55="1st Installment",B224=1),Input!$J$55,IF(Input!$H$55="Monthly",Input!$J$55,""))),"")</f>
        <v/>
      </c>
      <c r="L224" s="6">
        <f>IF(B224&lt;&gt;"",IF(AND(Input!$H$56="Annual",MOD(B224,12)=0),Input!$J$56,IF(AND(Input!$H$56="1st Installment",B224=1),Input!$J$56,IF(Input!$H$56="Monthly",Input!$J$56,""))),"")</f>
        <v>208.33333333333334</v>
      </c>
      <c r="M224" s="6" t="str">
        <f>IF(B224&lt;&gt;"",IF(AND(Input!$H$57="Annual",MOD(B224,12)=0),Input!$J$57,IF(AND(Input!$H$57="1st Installment",B224=1),Input!$J$57,IF(Input!$H$57="Monthly",Input!$J$57,""))),"")</f>
        <v/>
      </c>
      <c r="N224" s="6" t="str">
        <f>IF(B224&lt;&gt;"",IF(AND(Input!$H$58="Annual",MOD(B224,12)=0),Input!$J$58,IF(AND(Input!$H$58="1st Installment",B224=1),Input!$J$58,IF(Input!$H$58="Monthly",Input!$J$58,IF(AND(Input!$H$58="End of the loan",B224=Input!$E$58),Input!$J$58,"")))),"")</f>
        <v/>
      </c>
      <c r="O224" s="6">
        <f t="shared" si="30"/>
        <v>208.33333333333334</v>
      </c>
      <c r="P224" s="4">
        <f t="shared" si="31"/>
        <v>10525.868335503435</v>
      </c>
      <c r="T224" s="9">
        <f t="shared" si="32"/>
        <v>51590</v>
      </c>
      <c r="U224" s="5">
        <f t="shared" si="33"/>
        <v>10525.87</v>
      </c>
    </row>
    <row r="225" spans="2:21" x14ac:dyDescent="0.2">
      <c r="B225" s="181">
        <f t="shared" si="36"/>
        <v>208</v>
      </c>
      <c r="C225" s="162">
        <f t="shared" si="37"/>
        <v>51621</v>
      </c>
      <c r="D225" s="6">
        <f>IFERROR((PPMT(Input!$E$55/12,B225,$C$6,Input!$E$54,-Input!$E$65,0))," ")</f>
        <v>-7689.9529517503424</v>
      </c>
      <c r="E225" s="6">
        <f>IFERROR(((IPMT(Input!$E$55/12,B225,$C$6,Input!$E$54,-Input!$E$65,0)))," ")</f>
        <v>-2627.5820504197582</v>
      </c>
      <c r="F225" s="6">
        <f t="shared" si="39"/>
        <v>-1034399.3237692572</v>
      </c>
      <c r="G225" s="6">
        <f t="shared" si="38"/>
        <v>-1111647.9566821235</v>
      </c>
      <c r="H225" s="6">
        <f t="shared" si="34"/>
        <v>-10317.535002170102</v>
      </c>
      <c r="I225" s="6">
        <f t="shared" si="35"/>
        <v>565600.67623074283</v>
      </c>
      <c r="J225" s="6" t="str">
        <f>IF(B225&lt;&gt;"",IF(AND(Input!$H$54="Annual",MOD(B225,12)=0),Input!$J$54,IF(AND(Input!$H$54="1st Installment",B225=1),Input!$J$54,IF(Input!$H$54="Monthly",Input!$J$54,""))),"")</f>
        <v/>
      </c>
      <c r="K225" s="6" t="str">
        <f>IF(B225&lt;&gt;"",IF(AND(Input!$H$55="Annual",MOD(B225,12)=0),Input!$J$55,IF(AND(Input!$H$55="1st Installment",B225=1),Input!$J$55,IF(Input!$H$55="Monthly",Input!$J$55,""))),"")</f>
        <v/>
      </c>
      <c r="L225" s="6">
        <f>IF(B225&lt;&gt;"",IF(AND(Input!$H$56="Annual",MOD(B225,12)=0),Input!$J$56,IF(AND(Input!$H$56="1st Installment",B225=1),Input!$J$56,IF(Input!$H$56="Monthly",Input!$J$56,""))),"")</f>
        <v>208.33333333333334</v>
      </c>
      <c r="M225" s="6" t="str">
        <f>IF(B225&lt;&gt;"",IF(AND(Input!$H$57="Annual",MOD(B225,12)=0),Input!$J$57,IF(AND(Input!$H$57="1st Installment",B225=1),Input!$J$57,IF(Input!$H$57="Monthly",Input!$J$57,""))),"")</f>
        <v/>
      </c>
      <c r="N225" s="6" t="str">
        <f>IF(B225&lt;&gt;"",IF(AND(Input!$H$58="Annual",MOD(B225,12)=0),Input!$J$58,IF(AND(Input!$H$58="1st Installment",B225=1),Input!$J$58,IF(Input!$H$58="Monthly",Input!$J$58,IF(AND(Input!$H$58="End of the loan",B225=Input!$E$58),Input!$J$58,"")))),"")</f>
        <v/>
      </c>
      <c r="O225" s="6">
        <f t="shared" si="30"/>
        <v>208.33333333333334</v>
      </c>
      <c r="P225" s="4">
        <f t="shared" si="31"/>
        <v>10525.868335503435</v>
      </c>
      <c r="T225" s="9">
        <f t="shared" si="32"/>
        <v>51621</v>
      </c>
      <c r="U225" s="5">
        <f t="shared" si="33"/>
        <v>10525.87</v>
      </c>
    </row>
    <row r="226" spans="2:21" x14ac:dyDescent="0.2">
      <c r="B226" s="181">
        <f t="shared" si="36"/>
        <v>209</v>
      </c>
      <c r="C226" s="162">
        <f t="shared" si="37"/>
        <v>51651</v>
      </c>
      <c r="D226" s="6">
        <f>IFERROR((PPMT(Input!$E$55/12,B226,$C$6,Input!$E$54,-Input!$E$65,0))," ")</f>
        <v>-7725.1985694458654</v>
      </c>
      <c r="E226" s="6">
        <f>IFERROR(((IPMT(Input!$E$55/12,B226,$C$6,Input!$E$54,-Input!$E$65,0)))," ")</f>
        <v>-2592.3364327242357</v>
      </c>
      <c r="F226" s="6">
        <f t="shared" si="39"/>
        <v>-1042124.522338703</v>
      </c>
      <c r="G226" s="6">
        <f t="shared" si="38"/>
        <v>-1114240.2931148477</v>
      </c>
      <c r="H226" s="6">
        <f t="shared" si="34"/>
        <v>-10317.535002170102</v>
      </c>
      <c r="I226" s="6">
        <f t="shared" si="35"/>
        <v>557875.47766129696</v>
      </c>
      <c r="J226" s="6" t="str">
        <f>IF(B226&lt;&gt;"",IF(AND(Input!$H$54="Annual",MOD(B226,12)=0),Input!$J$54,IF(AND(Input!$H$54="1st Installment",B226=1),Input!$J$54,IF(Input!$H$54="Monthly",Input!$J$54,""))),"")</f>
        <v/>
      </c>
      <c r="K226" s="6" t="str">
        <f>IF(B226&lt;&gt;"",IF(AND(Input!$H$55="Annual",MOD(B226,12)=0),Input!$J$55,IF(AND(Input!$H$55="1st Installment",B226=1),Input!$J$55,IF(Input!$H$55="Monthly",Input!$J$55,""))),"")</f>
        <v/>
      </c>
      <c r="L226" s="6">
        <f>IF(B226&lt;&gt;"",IF(AND(Input!$H$56="Annual",MOD(B226,12)=0),Input!$J$56,IF(AND(Input!$H$56="1st Installment",B226=1),Input!$J$56,IF(Input!$H$56="Monthly",Input!$J$56,""))),"")</f>
        <v>208.33333333333334</v>
      </c>
      <c r="M226" s="6" t="str">
        <f>IF(B226&lt;&gt;"",IF(AND(Input!$H$57="Annual",MOD(B226,12)=0),Input!$J$57,IF(AND(Input!$H$57="1st Installment",B226=1),Input!$J$57,IF(Input!$H$57="Monthly",Input!$J$57,""))),"")</f>
        <v/>
      </c>
      <c r="N226" s="6" t="str">
        <f>IF(B226&lt;&gt;"",IF(AND(Input!$H$58="Annual",MOD(B226,12)=0),Input!$J$58,IF(AND(Input!$H$58="1st Installment",B226=1),Input!$J$58,IF(Input!$H$58="Monthly",Input!$J$58,IF(AND(Input!$H$58="End of the loan",B226=Input!$E$58),Input!$J$58,"")))),"")</f>
        <v/>
      </c>
      <c r="O226" s="6">
        <f t="shared" si="30"/>
        <v>208.33333333333334</v>
      </c>
      <c r="P226" s="4">
        <f t="shared" si="31"/>
        <v>10525.868335503435</v>
      </c>
      <c r="T226" s="9">
        <f t="shared" si="32"/>
        <v>51651</v>
      </c>
      <c r="U226" s="5">
        <f t="shared" si="33"/>
        <v>10525.87</v>
      </c>
    </row>
    <row r="227" spans="2:21" x14ac:dyDescent="0.2">
      <c r="B227" s="181">
        <f t="shared" si="36"/>
        <v>210</v>
      </c>
      <c r="C227" s="162">
        <f t="shared" si="37"/>
        <v>51682</v>
      </c>
      <c r="D227" s="6">
        <f>IFERROR((PPMT(Input!$E$55/12,B227,$C$6,Input!$E$54,-Input!$E$65,0))," ")</f>
        <v>-7760.6057295558257</v>
      </c>
      <c r="E227" s="6">
        <f>IFERROR(((IPMT(Input!$E$55/12,B227,$C$6,Input!$E$54,-Input!$E$65,0)))," ")</f>
        <v>-2556.9292726142762</v>
      </c>
      <c r="F227" s="6">
        <f t="shared" si="39"/>
        <v>-1049885.1280682588</v>
      </c>
      <c r="G227" s="6">
        <f t="shared" si="38"/>
        <v>-1116797.2223874619</v>
      </c>
      <c r="H227" s="6">
        <f t="shared" si="34"/>
        <v>-10317.535002170102</v>
      </c>
      <c r="I227" s="6">
        <f t="shared" si="35"/>
        <v>550114.87193174125</v>
      </c>
      <c r="J227" s="6" t="str">
        <f>IF(B227&lt;&gt;"",IF(AND(Input!$H$54="Annual",MOD(B227,12)=0),Input!$J$54,IF(AND(Input!$H$54="1st Installment",B227=1),Input!$J$54,IF(Input!$H$54="Monthly",Input!$J$54,""))),"")</f>
        <v/>
      </c>
      <c r="K227" s="6" t="str">
        <f>IF(B227&lt;&gt;"",IF(AND(Input!$H$55="Annual",MOD(B227,12)=0),Input!$J$55,IF(AND(Input!$H$55="1st Installment",B227=1),Input!$J$55,IF(Input!$H$55="Monthly",Input!$J$55,""))),"")</f>
        <v/>
      </c>
      <c r="L227" s="6">
        <f>IF(B227&lt;&gt;"",IF(AND(Input!$H$56="Annual",MOD(B227,12)=0),Input!$J$56,IF(AND(Input!$H$56="1st Installment",B227=1),Input!$J$56,IF(Input!$H$56="Monthly",Input!$J$56,""))),"")</f>
        <v>208.33333333333334</v>
      </c>
      <c r="M227" s="6" t="str">
        <f>IF(B227&lt;&gt;"",IF(AND(Input!$H$57="Annual",MOD(B227,12)=0),Input!$J$57,IF(AND(Input!$H$57="1st Installment",B227=1),Input!$J$57,IF(Input!$H$57="Monthly",Input!$J$57,""))),"")</f>
        <v/>
      </c>
      <c r="N227" s="6" t="str">
        <f>IF(B227&lt;&gt;"",IF(AND(Input!$H$58="Annual",MOD(B227,12)=0),Input!$J$58,IF(AND(Input!$H$58="1st Installment",B227=1),Input!$J$58,IF(Input!$H$58="Monthly",Input!$J$58,IF(AND(Input!$H$58="End of the loan",B227=Input!$E$58),Input!$J$58,"")))),"")</f>
        <v/>
      </c>
      <c r="O227" s="6">
        <f t="shared" si="30"/>
        <v>208.33333333333334</v>
      </c>
      <c r="P227" s="4">
        <f t="shared" si="31"/>
        <v>10525.868335503435</v>
      </c>
      <c r="T227" s="9">
        <f t="shared" si="32"/>
        <v>51682</v>
      </c>
      <c r="U227" s="5">
        <f t="shared" si="33"/>
        <v>10525.87</v>
      </c>
    </row>
    <row r="228" spans="2:21" x14ac:dyDescent="0.2">
      <c r="B228" s="181">
        <f t="shared" si="36"/>
        <v>211</v>
      </c>
      <c r="C228" s="162">
        <f t="shared" si="37"/>
        <v>51712</v>
      </c>
      <c r="D228" s="6">
        <f>IFERROR((PPMT(Input!$E$55/12,B228,$C$6,Input!$E$54,-Input!$E$65,0))," ")</f>
        <v>-7796.1751724829564</v>
      </c>
      <c r="E228" s="6">
        <f>IFERROR(((IPMT(Input!$E$55/12,B228,$C$6,Input!$E$54,-Input!$E$65,0)))," ")</f>
        <v>-2521.3598296871451</v>
      </c>
      <c r="F228" s="6">
        <f t="shared" si="39"/>
        <v>-1057681.3032407416</v>
      </c>
      <c r="G228" s="6">
        <f t="shared" si="38"/>
        <v>-1119318.582217149</v>
      </c>
      <c r="H228" s="6">
        <f t="shared" si="34"/>
        <v>-10317.535002170102</v>
      </c>
      <c r="I228" s="6">
        <f t="shared" si="35"/>
        <v>542318.6967592584</v>
      </c>
      <c r="J228" s="6" t="str">
        <f>IF(B228&lt;&gt;"",IF(AND(Input!$H$54="Annual",MOD(B228,12)=0),Input!$J$54,IF(AND(Input!$H$54="1st Installment",B228=1),Input!$J$54,IF(Input!$H$54="Monthly",Input!$J$54,""))),"")</f>
        <v/>
      </c>
      <c r="K228" s="6" t="str">
        <f>IF(B228&lt;&gt;"",IF(AND(Input!$H$55="Annual",MOD(B228,12)=0),Input!$J$55,IF(AND(Input!$H$55="1st Installment",B228=1),Input!$J$55,IF(Input!$H$55="Monthly",Input!$J$55,""))),"")</f>
        <v/>
      </c>
      <c r="L228" s="6">
        <f>IF(B228&lt;&gt;"",IF(AND(Input!$H$56="Annual",MOD(B228,12)=0),Input!$J$56,IF(AND(Input!$H$56="1st Installment",B228=1),Input!$J$56,IF(Input!$H$56="Monthly",Input!$J$56,""))),"")</f>
        <v>208.33333333333334</v>
      </c>
      <c r="M228" s="6" t="str">
        <f>IF(B228&lt;&gt;"",IF(AND(Input!$H$57="Annual",MOD(B228,12)=0),Input!$J$57,IF(AND(Input!$H$57="1st Installment",B228=1),Input!$J$57,IF(Input!$H$57="Monthly",Input!$J$57,""))),"")</f>
        <v/>
      </c>
      <c r="N228" s="6" t="str">
        <f>IF(B228&lt;&gt;"",IF(AND(Input!$H$58="Annual",MOD(B228,12)=0),Input!$J$58,IF(AND(Input!$H$58="1st Installment",B228=1),Input!$J$58,IF(Input!$H$58="Monthly",Input!$J$58,IF(AND(Input!$H$58="End of the loan",B228=Input!$E$58),Input!$J$58,"")))),"")</f>
        <v/>
      </c>
      <c r="O228" s="6">
        <f t="shared" si="30"/>
        <v>208.33333333333334</v>
      </c>
      <c r="P228" s="4">
        <f t="shared" si="31"/>
        <v>10525.868335503435</v>
      </c>
      <c r="T228" s="9">
        <f t="shared" si="32"/>
        <v>51712</v>
      </c>
      <c r="U228" s="5">
        <f t="shared" si="33"/>
        <v>10525.87</v>
      </c>
    </row>
    <row r="229" spans="2:21" x14ac:dyDescent="0.2">
      <c r="B229" s="181">
        <f t="shared" si="36"/>
        <v>212</v>
      </c>
      <c r="C229" s="162">
        <f t="shared" si="37"/>
        <v>51743</v>
      </c>
      <c r="D229" s="6">
        <f>IFERROR((PPMT(Input!$E$55/12,B229,$C$6,Input!$E$54,-Input!$E$65,0))," ")</f>
        <v>-7831.9076420235024</v>
      </c>
      <c r="E229" s="6">
        <f>IFERROR(((IPMT(Input!$E$55/12,B229,$C$6,Input!$E$54,-Input!$E$65,0)))," ")</f>
        <v>-2485.6273601465978</v>
      </c>
      <c r="F229" s="6">
        <f t="shared" si="39"/>
        <v>-1065513.210882765</v>
      </c>
      <c r="G229" s="6">
        <f t="shared" si="38"/>
        <v>-1121804.2095772955</v>
      </c>
      <c r="H229" s="6">
        <f t="shared" si="34"/>
        <v>-10317.5350021701</v>
      </c>
      <c r="I229" s="6">
        <f t="shared" si="35"/>
        <v>534486.78911723499</v>
      </c>
      <c r="J229" s="6" t="str">
        <f>IF(B229&lt;&gt;"",IF(AND(Input!$H$54="Annual",MOD(B229,12)=0),Input!$J$54,IF(AND(Input!$H$54="1st Installment",B229=1),Input!$J$54,IF(Input!$H$54="Monthly",Input!$J$54,""))),"")</f>
        <v/>
      </c>
      <c r="K229" s="6" t="str">
        <f>IF(B229&lt;&gt;"",IF(AND(Input!$H$55="Annual",MOD(B229,12)=0),Input!$J$55,IF(AND(Input!$H$55="1st Installment",B229=1),Input!$J$55,IF(Input!$H$55="Monthly",Input!$J$55,""))),"")</f>
        <v/>
      </c>
      <c r="L229" s="6">
        <f>IF(B229&lt;&gt;"",IF(AND(Input!$H$56="Annual",MOD(B229,12)=0),Input!$J$56,IF(AND(Input!$H$56="1st Installment",B229=1),Input!$J$56,IF(Input!$H$56="Monthly",Input!$J$56,""))),"")</f>
        <v>208.33333333333334</v>
      </c>
      <c r="M229" s="6" t="str">
        <f>IF(B229&lt;&gt;"",IF(AND(Input!$H$57="Annual",MOD(B229,12)=0),Input!$J$57,IF(AND(Input!$H$57="1st Installment",B229=1),Input!$J$57,IF(Input!$H$57="Monthly",Input!$J$57,""))),"")</f>
        <v/>
      </c>
      <c r="N229" s="6" t="str">
        <f>IF(B229&lt;&gt;"",IF(AND(Input!$H$58="Annual",MOD(B229,12)=0),Input!$J$58,IF(AND(Input!$H$58="1st Installment",B229=1),Input!$J$58,IF(Input!$H$58="Monthly",Input!$J$58,IF(AND(Input!$H$58="End of the loan",B229=Input!$E$58),Input!$J$58,"")))),"")</f>
        <v/>
      </c>
      <c r="O229" s="6">
        <f t="shared" si="30"/>
        <v>208.33333333333334</v>
      </c>
      <c r="P229" s="4">
        <f t="shared" si="31"/>
        <v>10525.868335503434</v>
      </c>
      <c r="T229" s="9">
        <f t="shared" si="32"/>
        <v>51743</v>
      </c>
      <c r="U229" s="5">
        <f t="shared" si="33"/>
        <v>10525.87</v>
      </c>
    </row>
    <row r="230" spans="2:21" x14ac:dyDescent="0.2">
      <c r="B230" s="181">
        <f t="shared" si="36"/>
        <v>213</v>
      </c>
      <c r="C230" s="162">
        <f t="shared" si="37"/>
        <v>51774</v>
      </c>
      <c r="D230" s="6">
        <f>IFERROR((PPMT(Input!$E$55/12,B230,$C$6,Input!$E$54,-Input!$E$65,0))," ")</f>
        <v>-7867.8038853827775</v>
      </c>
      <c r="E230" s="6">
        <f>IFERROR(((IPMT(Input!$E$55/12,B230,$C$6,Input!$E$54,-Input!$E$65,0)))," ")</f>
        <v>-2449.731116787324</v>
      </c>
      <c r="F230" s="6">
        <f t="shared" si="39"/>
        <v>-1073381.0147681478</v>
      </c>
      <c r="G230" s="6">
        <f t="shared" si="38"/>
        <v>-1124253.9406940828</v>
      </c>
      <c r="H230" s="6">
        <f t="shared" si="34"/>
        <v>-10317.535002170102</v>
      </c>
      <c r="I230" s="6">
        <f t="shared" si="35"/>
        <v>526618.98523185216</v>
      </c>
      <c r="J230" s="6" t="str">
        <f>IF(B230&lt;&gt;"",IF(AND(Input!$H$54="Annual",MOD(B230,12)=0),Input!$J$54,IF(AND(Input!$H$54="1st Installment",B230=1),Input!$J$54,IF(Input!$H$54="Monthly",Input!$J$54,""))),"")</f>
        <v/>
      </c>
      <c r="K230" s="6" t="str">
        <f>IF(B230&lt;&gt;"",IF(AND(Input!$H$55="Annual",MOD(B230,12)=0),Input!$J$55,IF(AND(Input!$H$55="1st Installment",B230=1),Input!$J$55,IF(Input!$H$55="Monthly",Input!$J$55,""))),"")</f>
        <v/>
      </c>
      <c r="L230" s="6">
        <f>IF(B230&lt;&gt;"",IF(AND(Input!$H$56="Annual",MOD(B230,12)=0),Input!$J$56,IF(AND(Input!$H$56="1st Installment",B230=1),Input!$J$56,IF(Input!$H$56="Monthly",Input!$J$56,""))),"")</f>
        <v>208.33333333333334</v>
      </c>
      <c r="M230" s="6" t="str">
        <f>IF(B230&lt;&gt;"",IF(AND(Input!$H$57="Annual",MOD(B230,12)=0),Input!$J$57,IF(AND(Input!$H$57="1st Installment",B230=1),Input!$J$57,IF(Input!$H$57="Monthly",Input!$J$57,""))),"")</f>
        <v/>
      </c>
      <c r="N230" s="6" t="str">
        <f>IF(B230&lt;&gt;"",IF(AND(Input!$H$58="Annual",MOD(B230,12)=0),Input!$J$58,IF(AND(Input!$H$58="1st Installment",B230=1),Input!$J$58,IF(Input!$H$58="Monthly",Input!$J$58,IF(AND(Input!$H$58="End of the loan",B230=Input!$E$58),Input!$J$58,"")))),"")</f>
        <v/>
      </c>
      <c r="O230" s="6">
        <f t="shared" si="30"/>
        <v>208.33333333333334</v>
      </c>
      <c r="P230" s="4">
        <f t="shared" si="31"/>
        <v>10525.868335503435</v>
      </c>
      <c r="T230" s="9">
        <f t="shared" si="32"/>
        <v>51774</v>
      </c>
      <c r="U230" s="5">
        <f t="shared" si="33"/>
        <v>10525.87</v>
      </c>
    </row>
    <row r="231" spans="2:21" x14ac:dyDescent="0.2">
      <c r="B231" s="181">
        <f t="shared" si="36"/>
        <v>214</v>
      </c>
      <c r="C231" s="162">
        <f t="shared" si="37"/>
        <v>51804</v>
      </c>
      <c r="D231" s="6">
        <f>IFERROR((PPMT(Input!$E$55/12,B231,$C$6,Input!$E$54,-Input!$E$65,0))," ")</f>
        <v>-7903.8646531907825</v>
      </c>
      <c r="E231" s="6">
        <f>IFERROR(((IPMT(Input!$E$55/12,B231,$C$6,Input!$E$54,-Input!$E$65,0)))," ")</f>
        <v>-2413.670348979319</v>
      </c>
      <c r="F231" s="6">
        <f t="shared" si="39"/>
        <v>-1081284.8794213387</v>
      </c>
      <c r="G231" s="6">
        <f t="shared" si="38"/>
        <v>-1126667.6110430621</v>
      </c>
      <c r="H231" s="6">
        <f t="shared" si="34"/>
        <v>-10317.535002170102</v>
      </c>
      <c r="I231" s="6">
        <f t="shared" si="35"/>
        <v>518715.12057866133</v>
      </c>
      <c r="J231" s="6" t="str">
        <f>IF(B231&lt;&gt;"",IF(AND(Input!$H$54="Annual",MOD(B231,12)=0),Input!$J$54,IF(AND(Input!$H$54="1st Installment",B231=1),Input!$J$54,IF(Input!$H$54="Monthly",Input!$J$54,""))),"")</f>
        <v/>
      </c>
      <c r="K231" s="6" t="str">
        <f>IF(B231&lt;&gt;"",IF(AND(Input!$H$55="Annual",MOD(B231,12)=0),Input!$J$55,IF(AND(Input!$H$55="1st Installment",B231=1),Input!$J$55,IF(Input!$H$55="Monthly",Input!$J$55,""))),"")</f>
        <v/>
      </c>
      <c r="L231" s="6">
        <f>IF(B231&lt;&gt;"",IF(AND(Input!$H$56="Annual",MOD(B231,12)=0),Input!$J$56,IF(AND(Input!$H$56="1st Installment",B231=1),Input!$J$56,IF(Input!$H$56="Monthly",Input!$J$56,""))),"")</f>
        <v>208.33333333333334</v>
      </c>
      <c r="M231" s="6" t="str">
        <f>IF(B231&lt;&gt;"",IF(AND(Input!$H$57="Annual",MOD(B231,12)=0),Input!$J$57,IF(AND(Input!$H$57="1st Installment",B231=1),Input!$J$57,IF(Input!$H$57="Monthly",Input!$J$57,""))),"")</f>
        <v/>
      </c>
      <c r="N231" s="6" t="str">
        <f>IF(B231&lt;&gt;"",IF(AND(Input!$H$58="Annual",MOD(B231,12)=0),Input!$J$58,IF(AND(Input!$H$58="1st Installment",B231=1),Input!$J$58,IF(Input!$H$58="Monthly",Input!$J$58,IF(AND(Input!$H$58="End of the loan",B231=Input!$E$58),Input!$J$58,"")))),"")</f>
        <v/>
      </c>
      <c r="O231" s="6">
        <f t="shared" si="30"/>
        <v>208.33333333333334</v>
      </c>
      <c r="P231" s="4">
        <f t="shared" si="31"/>
        <v>10525.868335503435</v>
      </c>
      <c r="T231" s="9">
        <f t="shared" si="32"/>
        <v>51804</v>
      </c>
      <c r="U231" s="5">
        <f t="shared" si="33"/>
        <v>10525.87</v>
      </c>
    </row>
    <row r="232" spans="2:21" x14ac:dyDescent="0.2">
      <c r="B232" s="181">
        <f t="shared" si="36"/>
        <v>215</v>
      </c>
      <c r="C232" s="162">
        <f t="shared" si="37"/>
        <v>51835</v>
      </c>
      <c r="D232" s="6">
        <f>IFERROR((PPMT(Input!$E$55/12,B232,$C$6,Input!$E$54,-Input!$E$65,0))," ")</f>
        <v>-7940.0906995179066</v>
      </c>
      <c r="E232" s="6">
        <f>IFERROR(((IPMT(Input!$E$55/12,B232,$C$6,Input!$E$54,-Input!$E$65,0)))," ")</f>
        <v>-2377.4443026521949</v>
      </c>
      <c r="F232" s="6">
        <f t="shared" si="39"/>
        <v>-1089224.9701208565</v>
      </c>
      <c r="G232" s="6">
        <f t="shared" si="38"/>
        <v>-1129045.0553457143</v>
      </c>
      <c r="H232" s="6">
        <f t="shared" si="34"/>
        <v>-10317.535002170102</v>
      </c>
      <c r="I232" s="6">
        <f t="shared" si="35"/>
        <v>510775.02987914346</v>
      </c>
      <c r="J232" s="6" t="str">
        <f>IF(B232&lt;&gt;"",IF(AND(Input!$H$54="Annual",MOD(B232,12)=0),Input!$J$54,IF(AND(Input!$H$54="1st Installment",B232=1),Input!$J$54,IF(Input!$H$54="Monthly",Input!$J$54,""))),"")</f>
        <v/>
      </c>
      <c r="K232" s="6" t="str">
        <f>IF(B232&lt;&gt;"",IF(AND(Input!$H$55="Annual",MOD(B232,12)=0),Input!$J$55,IF(AND(Input!$H$55="1st Installment",B232=1),Input!$J$55,IF(Input!$H$55="Monthly",Input!$J$55,""))),"")</f>
        <v/>
      </c>
      <c r="L232" s="6">
        <f>IF(B232&lt;&gt;"",IF(AND(Input!$H$56="Annual",MOD(B232,12)=0),Input!$J$56,IF(AND(Input!$H$56="1st Installment",B232=1),Input!$J$56,IF(Input!$H$56="Monthly",Input!$J$56,""))),"")</f>
        <v>208.33333333333334</v>
      </c>
      <c r="M232" s="6" t="str">
        <f>IF(B232&lt;&gt;"",IF(AND(Input!$H$57="Annual",MOD(B232,12)=0),Input!$J$57,IF(AND(Input!$H$57="1st Installment",B232=1),Input!$J$57,IF(Input!$H$57="Monthly",Input!$J$57,""))),"")</f>
        <v/>
      </c>
      <c r="N232" s="6" t="str">
        <f>IF(B232&lt;&gt;"",IF(AND(Input!$H$58="Annual",MOD(B232,12)=0),Input!$J$58,IF(AND(Input!$H$58="1st Installment",B232=1),Input!$J$58,IF(Input!$H$58="Monthly",Input!$J$58,IF(AND(Input!$H$58="End of the loan",B232=Input!$E$58),Input!$J$58,"")))),"")</f>
        <v/>
      </c>
      <c r="O232" s="6">
        <f t="shared" si="30"/>
        <v>208.33333333333334</v>
      </c>
      <c r="P232" s="4">
        <f t="shared" si="31"/>
        <v>10525.868335503435</v>
      </c>
      <c r="T232" s="9">
        <f t="shared" si="32"/>
        <v>51835</v>
      </c>
      <c r="U232" s="5">
        <f t="shared" si="33"/>
        <v>10525.87</v>
      </c>
    </row>
    <row r="233" spans="2:21" x14ac:dyDescent="0.2">
      <c r="B233" s="181">
        <f t="shared" si="36"/>
        <v>216</v>
      </c>
      <c r="C233" s="162">
        <f t="shared" si="37"/>
        <v>51865</v>
      </c>
      <c r="D233" s="6">
        <f>IFERROR((PPMT(Input!$E$55/12,B233,$C$6,Input!$E$54,-Input!$E$65,0))," ")</f>
        <v>-7976.482781890697</v>
      </c>
      <c r="E233" s="6">
        <f>IFERROR(((IPMT(Input!$E$55/12,B233,$C$6,Input!$E$54,-Input!$E$65,0)))," ")</f>
        <v>-2341.0522202794045</v>
      </c>
      <c r="F233" s="6">
        <f t="shared" si="39"/>
        <v>-1097201.4529027473</v>
      </c>
      <c r="G233" s="6">
        <f t="shared" si="38"/>
        <v>-1131386.1075659937</v>
      </c>
      <c r="H233" s="6">
        <f t="shared" si="34"/>
        <v>-10317.535002170102</v>
      </c>
      <c r="I233" s="6">
        <f t="shared" si="35"/>
        <v>502798.54709725268</v>
      </c>
      <c r="J233" s="6" t="str">
        <f>IF(B233&lt;&gt;"",IF(AND(Input!$H$54="Annual",MOD(B233,12)=0),Input!$J$54,IF(AND(Input!$H$54="1st Installment",B233=1),Input!$J$54,IF(Input!$H$54="Monthly",Input!$J$54,""))),"")</f>
        <v/>
      </c>
      <c r="K233" s="6">
        <f>IF(B233&lt;&gt;"",IF(AND(Input!$H$55="Annual",MOD(B233,12)=0),Input!$J$55,IF(AND(Input!$H$55="1st Installment",B233=1),Input!$J$55,IF(Input!$H$55="Monthly",Input!$J$55,""))),"")</f>
        <v>0</v>
      </c>
      <c r="L233" s="6">
        <f>IF(B233&lt;&gt;"",IF(AND(Input!$H$56="Annual",MOD(B233,12)=0),Input!$J$56,IF(AND(Input!$H$56="1st Installment",B233=1),Input!$J$56,IF(Input!$H$56="Monthly",Input!$J$56,""))),"")</f>
        <v>208.33333333333334</v>
      </c>
      <c r="M233" s="6" t="str">
        <f>IF(B233&lt;&gt;"",IF(AND(Input!$H$57="Annual",MOD(B233,12)=0),Input!$J$57,IF(AND(Input!$H$57="1st Installment",B233=1),Input!$J$57,IF(Input!$H$57="Monthly",Input!$J$57,""))),"")</f>
        <v/>
      </c>
      <c r="N233" s="6">
        <f>IF(B233&lt;&gt;"",IF(AND(Input!$H$58="Annual",MOD(B233,12)=0),Input!$J$58,IF(AND(Input!$H$58="1st Installment",B233=1),Input!$J$58,IF(Input!$H$58="Monthly",Input!$J$58,IF(AND(Input!$H$58="End of the loan",B233=Input!$E$58),Input!$J$58,"")))),"")</f>
        <v>0</v>
      </c>
      <c r="O233" s="6">
        <f t="shared" si="30"/>
        <v>208.33333333333334</v>
      </c>
      <c r="P233" s="4">
        <f t="shared" si="31"/>
        <v>10525.868335503435</v>
      </c>
      <c r="T233" s="9">
        <f t="shared" si="32"/>
        <v>51865</v>
      </c>
      <c r="U233" s="5">
        <f t="shared" si="33"/>
        <v>10525.87</v>
      </c>
    </row>
    <row r="234" spans="2:21" x14ac:dyDescent="0.2">
      <c r="B234" s="181">
        <f t="shared" si="36"/>
        <v>217</v>
      </c>
      <c r="C234" s="162">
        <f t="shared" si="37"/>
        <v>51896</v>
      </c>
      <c r="D234" s="6">
        <f>IFERROR((PPMT(Input!$E$55/12,B234,$C$6,Input!$E$54,-Input!$E$65,0))," ")</f>
        <v>-8013.0416613076959</v>
      </c>
      <c r="E234" s="6">
        <f>IFERROR(((IPMT(Input!$E$55/12,B234,$C$6,Input!$E$54,-Input!$E$65,0)))," ")</f>
        <v>-2304.4933408624056</v>
      </c>
      <c r="F234" s="6">
        <f t="shared" si="39"/>
        <v>-1105214.494564055</v>
      </c>
      <c r="G234" s="6">
        <f t="shared" si="38"/>
        <v>-1133690.6009068561</v>
      </c>
      <c r="H234" s="6">
        <f t="shared" si="34"/>
        <v>-10317.535002170102</v>
      </c>
      <c r="I234" s="6">
        <f t="shared" si="35"/>
        <v>494785.505435945</v>
      </c>
      <c r="J234" s="6" t="str">
        <f>IF(B234&lt;&gt;"",IF(AND(Input!$H$54="Annual",MOD(B234,12)=0),Input!$J$54,IF(AND(Input!$H$54="1st Installment",B234=1),Input!$J$54,IF(Input!$H$54="Monthly",Input!$J$54,""))),"")</f>
        <v/>
      </c>
      <c r="K234" s="6" t="str">
        <f>IF(B234&lt;&gt;"",IF(AND(Input!$H$55="Annual",MOD(B234,12)=0),Input!$J$55,IF(AND(Input!$H$55="1st Installment",B234=1),Input!$J$55,IF(Input!$H$55="Monthly",Input!$J$55,""))),"")</f>
        <v/>
      </c>
      <c r="L234" s="6">
        <f>IF(B234&lt;&gt;"",IF(AND(Input!$H$56="Annual",MOD(B234,12)=0),Input!$J$56,IF(AND(Input!$H$56="1st Installment",B234=1),Input!$J$56,IF(Input!$H$56="Monthly",Input!$J$56,""))),"")</f>
        <v>208.33333333333334</v>
      </c>
      <c r="M234" s="6" t="str">
        <f>IF(B234&lt;&gt;"",IF(AND(Input!$H$57="Annual",MOD(B234,12)=0),Input!$J$57,IF(AND(Input!$H$57="1st Installment",B234=1),Input!$J$57,IF(Input!$H$57="Monthly",Input!$J$57,""))),"")</f>
        <v/>
      </c>
      <c r="N234" s="6" t="str">
        <f>IF(B234&lt;&gt;"",IF(AND(Input!$H$58="Annual",MOD(B234,12)=0),Input!$J$58,IF(AND(Input!$H$58="1st Installment",B234=1),Input!$J$58,IF(Input!$H$58="Monthly",Input!$J$58,IF(AND(Input!$H$58="End of the loan",B234=Input!$E$58),Input!$J$58,"")))),"")</f>
        <v/>
      </c>
      <c r="O234" s="6">
        <f t="shared" si="30"/>
        <v>208.33333333333334</v>
      </c>
      <c r="P234" s="4">
        <f t="shared" si="31"/>
        <v>10525.868335503435</v>
      </c>
      <c r="T234" s="9">
        <f t="shared" si="32"/>
        <v>51896</v>
      </c>
      <c r="U234" s="5">
        <f t="shared" si="33"/>
        <v>10525.87</v>
      </c>
    </row>
    <row r="235" spans="2:21" x14ac:dyDescent="0.2">
      <c r="B235" s="181">
        <f t="shared" si="36"/>
        <v>218</v>
      </c>
      <c r="C235" s="162">
        <f t="shared" si="37"/>
        <v>51925</v>
      </c>
      <c r="D235" s="6">
        <f>IFERROR((PPMT(Input!$E$55/12,B235,$C$6,Input!$E$54,-Input!$E$65,0))," ")</f>
        <v>-8049.7681022553561</v>
      </c>
      <c r="E235" s="6">
        <f>IFERROR(((IPMT(Input!$E$55/12,B235,$C$6,Input!$E$54,-Input!$E$65,0)))," ")</f>
        <v>-2267.7668999147454</v>
      </c>
      <c r="F235" s="6">
        <f t="shared" si="39"/>
        <v>-1113264.2626663104</v>
      </c>
      <c r="G235" s="6">
        <f t="shared" si="38"/>
        <v>-1135958.3678067708</v>
      </c>
      <c r="H235" s="6">
        <f t="shared" si="34"/>
        <v>-10317.535002170102</v>
      </c>
      <c r="I235" s="6">
        <f t="shared" si="35"/>
        <v>486735.73733368958</v>
      </c>
      <c r="J235" s="6" t="str">
        <f>IF(B235&lt;&gt;"",IF(AND(Input!$H$54="Annual",MOD(B235,12)=0),Input!$J$54,IF(AND(Input!$H$54="1st Installment",B235=1),Input!$J$54,IF(Input!$H$54="Monthly",Input!$J$54,""))),"")</f>
        <v/>
      </c>
      <c r="K235" s="6" t="str">
        <f>IF(B235&lt;&gt;"",IF(AND(Input!$H$55="Annual",MOD(B235,12)=0),Input!$J$55,IF(AND(Input!$H$55="1st Installment",B235=1),Input!$J$55,IF(Input!$H$55="Monthly",Input!$J$55,""))),"")</f>
        <v/>
      </c>
      <c r="L235" s="6">
        <f>IF(B235&lt;&gt;"",IF(AND(Input!$H$56="Annual",MOD(B235,12)=0),Input!$J$56,IF(AND(Input!$H$56="1st Installment",B235=1),Input!$J$56,IF(Input!$H$56="Monthly",Input!$J$56,""))),"")</f>
        <v>208.33333333333334</v>
      </c>
      <c r="M235" s="6" t="str">
        <f>IF(B235&lt;&gt;"",IF(AND(Input!$H$57="Annual",MOD(B235,12)=0),Input!$J$57,IF(AND(Input!$H$57="1st Installment",B235=1),Input!$J$57,IF(Input!$H$57="Monthly",Input!$J$57,""))),"")</f>
        <v/>
      </c>
      <c r="N235" s="6" t="str">
        <f>IF(B235&lt;&gt;"",IF(AND(Input!$H$58="Annual",MOD(B235,12)=0),Input!$J$58,IF(AND(Input!$H$58="1st Installment",B235=1),Input!$J$58,IF(Input!$H$58="Monthly",Input!$J$58,IF(AND(Input!$H$58="End of the loan",B235=Input!$E$58),Input!$J$58,"")))),"")</f>
        <v/>
      </c>
      <c r="O235" s="6">
        <f t="shared" si="30"/>
        <v>208.33333333333334</v>
      </c>
      <c r="P235" s="4">
        <f t="shared" si="31"/>
        <v>10525.868335503435</v>
      </c>
      <c r="T235" s="9">
        <f t="shared" si="32"/>
        <v>51925</v>
      </c>
      <c r="U235" s="5">
        <f t="shared" si="33"/>
        <v>10525.87</v>
      </c>
    </row>
    <row r="236" spans="2:21" x14ac:dyDescent="0.2">
      <c r="B236" s="181">
        <f t="shared" si="36"/>
        <v>219</v>
      </c>
      <c r="C236" s="162">
        <f t="shared" si="37"/>
        <v>51955</v>
      </c>
      <c r="D236" s="6">
        <f>IFERROR((PPMT(Input!$E$55/12,B236,$C$6,Input!$E$54,-Input!$E$65,0))," ")</f>
        <v>-8086.6628727240259</v>
      </c>
      <c r="E236" s="6">
        <f>IFERROR(((IPMT(Input!$E$55/12,B236,$C$6,Input!$E$54,-Input!$E$65,0)))," ")</f>
        <v>-2230.8721294460747</v>
      </c>
      <c r="F236" s="6">
        <f t="shared" si="39"/>
        <v>-1121350.9255390344</v>
      </c>
      <c r="G236" s="6">
        <f t="shared" si="38"/>
        <v>-1138189.239936217</v>
      </c>
      <c r="H236" s="6">
        <f t="shared" si="34"/>
        <v>-10317.535002170102</v>
      </c>
      <c r="I236" s="6">
        <f t="shared" si="35"/>
        <v>478649.07446096558</v>
      </c>
      <c r="J236" s="6" t="str">
        <f>IF(B236&lt;&gt;"",IF(AND(Input!$H$54="Annual",MOD(B236,12)=0),Input!$J$54,IF(AND(Input!$H$54="1st Installment",B236=1),Input!$J$54,IF(Input!$H$54="Monthly",Input!$J$54,""))),"")</f>
        <v/>
      </c>
      <c r="K236" s="6" t="str">
        <f>IF(B236&lt;&gt;"",IF(AND(Input!$H$55="Annual",MOD(B236,12)=0),Input!$J$55,IF(AND(Input!$H$55="1st Installment",B236=1),Input!$J$55,IF(Input!$H$55="Monthly",Input!$J$55,""))),"")</f>
        <v/>
      </c>
      <c r="L236" s="6">
        <f>IF(B236&lt;&gt;"",IF(AND(Input!$H$56="Annual",MOD(B236,12)=0),Input!$J$56,IF(AND(Input!$H$56="1st Installment",B236=1),Input!$J$56,IF(Input!$H$56="Monthly",Input!$J$56,""))),"")</f>
        <v>208.33333333333334</v>
      </c>
      <c r="M236" s="6" t="str">
        <f>IF(B236&lt;&gt;"",IF(AND(Input!$H$57="Annual",MOD(B236,12)=0),Input!$J$57,IF(AND(Input!$H$57="1st Installment",B236=1),Input!$J$57,IF(Input!$H$57="Monthly",Input!$J$57,""))),"")</f>
        <v/>
      </c>
      <c r="N236" s="6" t="str">
        <f>IF(B236&lt;&gt;"",IF(AND(Input!$H$58="Annual",MOD(B236,12)=0),Input!$J$58,IF(AND(Input!$H$58="1st Installment",B236=1),Input!$J$58,IF(Input!$H$58="Monthly",Input!$J$58,IF(AND(Input!$H$58="End of the loan",B236=Input!$E$58),Input!$J$58,"")))),"")</f>
        <v/>
      </c>
      <c r="O236" s="6">
        <f t="shared" si="30"/>
        <v>208.33333333333334</v>
      </c>
      <c r="P236" s="4">
        <f t="shared" si="31"/>
        <v>10525.868335503435</v>
      </c>
      <c r="T236" s="9">
        <f t="shared" si="32"/>
        <v>51955</v>
      </c>
      <c r="U236" s="5">
        <f t="shared" si="33"/>
        <v>10525.87</v>
      </c>
    </row>
    <row r="237" spans="2:21" x14ac:dyDescent="0.2">
      <c r="B237" s="181">
        <f t="shared" si="36"/>
        <v>220</v>
      </c>
      <c r="C237" s="162">
        <f t="shared" si="37"/>
        <v>51986</v>
      </c>
      <c r="D237" s="6">
        <f>IFERROR((PPMT(Input!$E$55/12,B237,$C$6,Input!$E$54,-Input!$E$65,0))," ")</f>
        <v>-8123.7267442240118</v>
      </c>
      <c r="E237" s="6">
        <f>IFERROR(((IPMT(Input!$E$55/12,B237,$C$6,Input!$E$54,-Input!$E$65,0)))," ")</f>
        <v>-2193.8082579460897</v>
      </c>
      <c r="F237" s="6">
        <f t="shared" si="39"/>
        <v>-1129474.6522832585</v>
      </c>
      <c r="G237" s="6">
        <f t="shared" si="38"/>
        <v>-1140383.048194163</v>
      </c>
      <c r="H237" s="6">
        <f t="shared" si="34"/>
        <v>-10317.535002170102</v>
      </c>
      <c r="I237" s="6">
        <f t="shared" si="35"/>
        <v>470525.3477167415</v>
      </c>
      <c r="J237" s="6" t="str">
        <f>IF(B237&lt;&gt;"",IF(AND(Input!$H$54="Annual",MOD(B237,12)=0),Input!$J$54,IF(AND(Input!$H$54="1st Installment",B237=1),Input!$J$54,IF(Input!$H$54="Monthly",Input!$J$54,""))),"")</f>
        <v/>
      </c>
      <c r="K237" s="6" t="str">
        <f>IF(B237&lt;&gt;"",IF(AND(Input!$H$55="Annual",MOD(B237,12)=0),Input!$J$55,IF(AND(Input!$H$55="1st Installment",B237=1),Input!$J$55,IF(Input!$H$55="Monthly",Input!$J$55,""))),"")</f>
        <v/>
      </c>
      <c r="L237" s="6">
        <f>IF(B237&lt;&gt;"",IF(AND(Input!$H$56="Annual",MOD(B237,12)=0),Input!$J$56,IF(AND(Input!$H$56="1st Installment",B237=1),Input!$J$56,IF(Input!$H$56="Monthly",Input!$J$56,""))),"")</f>
        <v>208.33333333333334</v>
      </c>
      <c r="M237" s="6" t="str">
        <f>IF(B237&lt;&gt;"",IF(AND(Input!$H$57="Annual",MOD(B237,12)=0),Input!$J$57,IF(AND(Input!$H$57="1st Installment",B237=1),Input!$J$57,IF(Input!$H$57="Monthly",Input!$J$57,""))),"")</f>
        <v/>
      </c>
      <c r="N237" s="6" t="str">
        <f>IF(B237&lt;&gt;"",IF(AND(Input!$H$58="Annual",MOD(B237,12)=0),Input!$J$58,IF(AND(Input!$H$58="1st Installment",B237=1),Input!$J$58,IF(Input!$H$58="Monthly",Input!$J$58,IF(AND(Input!$H$58="End of the loan",B237=Input!$E$58),Input!$J$58,"")))),"")</f>
        <v/>
      </c>
      <c r="O237" s="6">
        <f t="shared" si="30"/>
        <v>208.33333333333334</v>
      </c>
      <c r="P237" s="4">
        <f t="shared" si="31"/>
        <v>10525.868335503435</v>
      </c>
      <c r="T237" s="9">
        <f t="shared" si="32"/>
        <v>51986</v>
      </c>
      <c r="U237" s="5">
        <f t="shared" si="33"/>
        <v>10525.87</v>
      </c>
    </row>
    <row r="238" spans="2:21" x14ac:dyDescent="0.2">
      <c r="B238" s="181">
        <f t="shared" si="36"/>
        <v>221</v>
      </c>
      <c r="C238" s="162">
        <f t="shared" si="37"/>
        <v>52016</v>
      </c>
      <c r="D238" s="6">
        <f>IFERROR((PPMT(Input!$E$55/12,B238,$C$6,Input!$E$54,-Input!$E$65,0))," ")</f>
        <v>-8160.9604918017048</v>
      </c>
      <c r="E238" s="6">
        <f>IFERROR(((IPMT(Input!$E$55/12,B238,$C$6,Input!$E$54,-Input!$E$65,0)))," ")</f>
        <v>-2156.5745103683962</v>
      </c>
      <c r="F238" s="6">
        <f t="shared" si="39"/>
        <v>-1137635.6127750601</v>
      </c>
      <c r="G238" s="6">
        <f t="shared" si="38"/>
        <v>-1142539.6227045313</v>
      </c>
      <c r="H238" s="6">
        <f t="shared" si="34"/>
        <v>-10317.535002170102</v>
      </c>
      <c r="I238" s="6">
        <f t="shared" si="35"/>
        <v>462364.38722493988</v>
      </c>
      <c r="J238" s="6" t="str">
        <f>IF(B238&lt;&gt;"",IF(AND(Input!$H$54="Annual",MOD(B238,12)=0),Input!$J$54,IF(AND(Input!$H$54="1st Installment",B238=1),Input!$J$54,IF(Input!$H$54="Monthly",Input!$J$54,""))),"")</f>
        <v/>
      </c>
      <c r="K238" s="6" t="str">
        <f>IF(B238&lt;&gt;"",IF(AND(Input!$H$55="Annual",MOD(B238,12)=0),Input!$J$55,IF(AND(Input!$H$55="1st Installment",B238=1),Input!$J$55,IF(Input!$H$55="Monthly",Input!$J$55,""))),"")</f>
        <v/>
      </c>
      <c r="L238" s="6">
        <f>IF(B238&lt;&gt;"",IF(AND(Input!$H$56="Annual",MOD(B238,12)=0),Input!$J$56,IF(AND(Input!$H$56="1st Installment",B238=1),Input!$J$56,IF(Input!$H$56="Monthly",Input!$J$56,""))),"")</f>
        <v>208.33333333333334</v>
      </c>
      <c r="M238" s="6" t="str">
        <f>IF(B238&lt;&gt;"",IF(AND(Input!$H$57="Annual",MOD(B238,12)=0),Input!$J$57,IF(AND(Input!$H$57="1st Installment",B238=1),Input!$J$57,IF(Input!$H$57="Monthly",Input!$J$57,""))),"")</f>
        <v/>
      </c>
      <c r="N238" s="6" t="str">
        <f>IF(B238&lt;&gt;"",IF(AND(Input!$H$58="Annual",MOD(B238,12)=0),Input!$J$58,IF(AND(Input!$H$58="1st Installment",B238=1),Input!$J$58,IF(Input!$H$58="Monthly",Input!$J$58,IF(AND(Input!$H$58="End of the loan",B238=Input!$E$58),Input!$J$58,"")))),"")</f>
        <v/>
      </c>
      <c r="O238" s="6">
        <f t="shared" si="30"/>
        <v>208.33333333333334</v>
      </c>
      <c r="P238" s="4">
        <f t="shared" si="31"/>
        <v>10525.868335503435</v>
      </c>
      <c r="T238" s="9">
        <f t="shared" si="32"/>
        <v>52016</v>
      </c>
      <c r="U238" s="5">
        <f t="shared" si="33"/>
        <v>10525.87</v>
      </c>
    </row>
    <row r="239" spans="2:21" x14ac:dyDescent="0.2">
      <c r="B239" s="181">
        <f t="shared" si="36"/>
        <v>222</v>
      </c>
      <c r="C239" s="162">
        <f t="shared" si="37"/>
        <v>52047</v>
      </c>
      <c r="D239" s="6">
        <f>IFERROR((PPMT(Input!$E$55/12,B239,$C$6,Input!$E$54,-Input!$E$65,0))," ")</f>
        <v>-8198.364894055796</v>
      </c>
      <c r="E239" s="6">
        <f>IFERROR(((IPMT(Input!$E$55/12,B239,$C$6,Input!$E$54,-Input!$E$65,0)))," ")</f>
        <v>-2119.1701081143051</v>
      </c>
      <c r="F239" s="6">
        <f t="shared" si="39"/>
        <v>-1145833.9776691159</v>
      </c>
      <c r="G239" s="6">
        <f t="shared" si="38"/>
        <v>-1144658.7928126457</v>
      </c>
      <c r="H239" s="6">
        <f t="shared" si="34"/>
        <v>-10317.535002170102</v>
      </c>
      <c r="I239" s="6">
        <f t="shared" si="35"/>
        <v>454166.02233088412</v>
      </c>
      <c r="J239" s="6" t="str">
        <f>IF(B239&lt;&gt;"",IF(AND(Input!$H$54="Annual",MOD(B239,12)=0),Input!$J$54,IF(AND(Input!$H$54="1st Installment",B239=1),Input!$J$54,IF(Input!$H$54="Monthly",Input!$J$54,""))),"")</f>
        <v/>
      </c>
      <c r="K239" s="6" t="str">
        <f>IF(B239&lt;&gt;"",IF(AND(Input!$H$55="Annual",MOD(B239,12)=0),Input!$J$55,IF(AND(Input!$H$55="1st Installment",B239=1),Input!$J$55,IF(Input!$H$55="Monthly",Input!$J$55,""))),"")</f>
        <v/>
      </c>
      <c r="L239" s="6">
        <f>IF(B239&lt;&gt;"",IF(AND(Input!$H$56="Annual",MOD(B239,12)=0),Input!$J$56,IF(AND(Input!$H$56="1st Installment",B239=1),Input!$J$56,IF(Input!$H$56="Monthly",Input!$J$56,""))),"")</f>
        <v>208.33333333333334</v>
      </c>
      <c r="M239" s="6" t="str">
        <f>IF(B239&lt;&gt;"",IF(AND(Input!$H$57="Annual",MOD(B239,12)=0),Input!$J$57,IF(AND(Input!$H$57="1st Installment",B239=1),Input!$J$57,IF(Input!$H$57="Monthly",Input!$J$57,""))),"")</f>
        <v/>
      </c>
      <c r="N239" s="6" t="str">
        <f>IF(B239&lt;&gt;"",IF(AND(Input!$H$58="Annual",MOD(B239,12)=0),Input!$J$58,IF(AND(Input!$H$58="1st Installment",B239=1),Input!$J$58,IF(Input!$H$58="Monthly",Input!$J$58,IF(AND(Input!$H$58="End of the loan",B239=Input!$E$58),Input!$J$58,"")))),"")</f>
        <v/>
      </c>
      <c r="O239" s="6">
        <f t="shared" si="30"/>
        <v>208.33333333333334</v>
      </c>
      <c r="P239" s="4">
        <f t="shared" si="31"/>
        <v>10525.868335503435</v>
      </c>
      <c r="T239" s="9">
        <f t="shared" si="32"/>
        <v>52047</v>
      </c>
      <c r="U239" s="5">
        <f t="shared" si="33"/>
        <v>10525.87</v>
      </c>
    </row>
    <row r="240" spans="2:21" x14ac:dyDescent="0.2">
      <c r="B240" s="181">
        <f t="shared" si="36"/>
        <v>223</v>
      </c>
      <c r="C240" s="162">
        <f t="shared" si="37"/>
        <v>52077</v>
      </c>
      <c r="D240" s="6">
        <f>IFERROR((PPMT(Input!$E$55/12,B240,$C$6,Input!$E$54,-Input!$E$65,0))," ")</f>
        <v>-8235.9407331535513</v>
      </c>
      <c r="E240" s="6">
        <f>IFERROR(((IPMT(Input!$E$55/12,B240,$C$6,Input!$E$54,-Input!$E$65,0)))," ")</f>
        <v>-2081.5942690165498</v>
      </c>
      <c r="F240" s="6">
        <f t="shared" si="39"/>
        <v>-1154069.9184022695</v>
      </c>
      <c r="G240" s="6">
        <f t="shared" si="38"/>
        <v>-1146740.3870816622</v>
      </c>
      <c r="H240" s="6">
        <f t="shared" si="34"/>
        <v>-10317.535002170102</v>
      </c>
      <c r="I240" s="6">
        <f t="shared" si="35"/>
        <v>445930.08159773052</v>
      </c>
      <c r="J240" s="6" t="str">
        <f>IF(B240&lt;&gt;"",IF(AND(Input!$H$54="Annual",MOD(B240,12)=0),Input!$J$54,IF(AND(Input!$H$54="1st Installment",B240=1),Input!$J$54,IF(Input!$H$54="Monthly",Input!$J$54,""))),"")</f>
        <v/>
      </c>
      <c r="K240" s="6" t="str">
        <f>IF(B240&lt;&gt;"",IF(AND(Input!$H$55="Annual",MOD(B240,12)=0),Input!$J$55,IF(AND(Input!$H$55="1st Installment",B240=1),Input!$J$55,IF(Input!$H$55="Monthly",Input!$J$55,""))),"")</f>
        <v/>
      </c>
      <c r="L240" s="6">
        <f>IF(B240&lt;&gt;"",IF(AND(Input!$H$56="Annual",MOD(B240,12)=0),Input!$J$56,IF(AND(Input!$H$56="1st Installment",B240=1),Input!$J$56,IF(Input!$H$56="Monthly",Input!$J$56,""))),"")</f>
        <v>208.33333333333334</v>
      </c>
      <c r="M240" s="6" t="str">
        <f>IF(B240&lt;&gt;"",IF(AND(Input!$H$57="Annual",MOD(B240,12)=0),Input!$J$57,IF(AND(Input!$H$57="1st Installment",B240=1),Input!$J$57,IF(Input!$H$57="Monthly",Input!$J$57,""))),"")</f>
        <v/>
      </c>
      <c r="N240" s="6" t="str">
        <f>IF(B240&lt;&gt;"",IF(AND(Input!$H$58="Annual",MOD(B240,12)=0),Input!$J$58,IF(AND(Input!$H$58="1st Installment",B240=1),Input!$J$58,IF(Input!$H$58="Monthly",Input!$J$58,IF(AND(Input!$H$58="End of the loan",B240=Input!$E$58),Input!$J$58,"")))),"")</f>
        <v/>
      </c>
      <c r="O240" s="6">
        <f t="shared" si="30"/>
        <v>208.33333333333334</v>
      </c>
      <c r="P240" s="4">
        <f t="shared" si="31"/>
        <v>10525.868335503435</v>
      </c>
      <c r="T240" s="9">
        <f t="shared" si="32"/>
        <v>52077</v>
      </c>
      <c r="U240" s="5">
        <f t="shared" si="33"/>
        <v>10525.87</v>
      </c>
    </row>
    <row r="241" spans="2:21" x14ac:dyDescent="0.2">
      <c r="B241" s="181">
        <f t="shared" si="36"/>
        <v>224</v>
      </c>
      <c r="C241" s="162">
        <f t="shared" si="37"/>
        <v>52108</v>
      </c>
      <c r="D241" s="6">
        <f>IFERROR((PPMT(Input!$E$55/12,B241,$C$6,Input!$E$54,-Input!$E$65,0))," ")</f>
        <v>-8273.6887948471722</v>
      </c>
      <c r="E241" s="6">
        <f>IFERROR(((IPMT(Input!$E$55/12,B241,$C$6,Input!$E$54,-Input!$E$65,0)))," ")</f>
        <v>-2043.8462073229289</v>
      </c>
      <c r="F241" s="6">
        <f t="shared" si="39"/>
        <v>-1162343.6071971166</v>
      </c>
      <c r="G241" s="6">
        <f t="shared" si="38"/>
        <v>-1148784.2332889852</v>
      </c>
      <c r="H241" s="6">
        <f t="shared" si="34"/>
        <v>-10317.535002170102</v>
      </c>
      <c r="I241" s="6">
        <f t="shared" si="35"/>
        <v>437656.39280288341</v>
      </c>
      <c r="J241" s="6" t="str">
        <f>IF(B241&lt;&gt;"",IF(AND(Input!$H$54="Annual",MOD(B241,12)=0),Input!$J$54,IF(AND(Input!$H$54="1st Installment",B241=1),Input!$J$54,IF(Input!$H$54="Monthly",Input!$J$54,""))),"")</f>
        <v/>
      </c>
      <c r="K241" s="6" t="str">
        <f>IF(B241&lt;&gt;"",IF(AND(Input!$H$55="Annual",MOD(B241,12)=0),Input!$J$55,IF(AND(Input!$H$55="1st Installment",B241=1),Input!$J$55,IF(Input!$H$55="Monthly",Input!$J$55,""))),"")</f>
        <v/>
      </c>
      <c r="L241" s="6">
        <f>IF(B241&lt;&gt;"",IF(AND(Input!$H$56="Annual",MOD(B241,12)=0),Input!$J$56,IF(AND(Input!$H$56="1st Installment",B241=1),Input!$J$56,IF(Input!$H$56="Monthly",Input!$J$56,""))),"")</f>
        <v>208.33333333333334</v>
      </c>
      <c r="M241" s="6" t="str">
        <f>IF(B241&lt;&gt;"",IF(AND(Input!$H$57="Annual",MOD(B241,12)=0),Input!$J$57,IF(AND(Input!$H$57="1st Installment",B241=1),Input!$J$57,IF(Input!$H$57="Monthly",Input!$J$57,""))),"")</f>
        <v/>
      </c>
      <c r="N241" s="6" t="str">
        <f>IF(B241&lt;&gt;"",IF(AND(Input!$H$58="Annual",MOD(B241,12)=0),Input!$J$58,IF(AND(Input!$H$58="1st Installment",B241=1),Input!$J$58,IF(Input!$H$58="Monthly",Input!$J$58,IF(AND(Input!$H$58="End of the loan",B241=Input!$E$58),Input!$J$58,"")))),"")</f>
        <v/>
      </c>
      <c r="O241" s="6">
        <f t="shared" si="30"/>
        <v>208.33333333333334</v>
      </c>
      <c r="P241" s="4">
        <f t="shared" si="31"/>
        <v>10525.868335503435</v>
      </c>
      <c r="T241" s="9">
        <f t="shared" si="32"/>
        <v>52108</v>
      </c>
      <c r="U241" s="5">
        <f t="shared" si="33"/>
        <v>10525.87</v>
      </c>
    </row>
    <row r="242" spans="2:21" x14ac:dyDescent="0.2">
      <c r="B242" s="181">
        <f t="shared" si="36"/>
        <v>225</v>
      </c>
      <c r="C242" s="162">
        <f t="shared" si="37"/>
        <v>52139</v>
      </c>
      <c r="D242" s="6">
        <f>IFERROR((PPMT(Input!$E$55/12,B242,$C$6,Input!$E$54,-Input!$E$65,0))," ")</f>
        <v>-8311.6098684902227</v>
      </c>
      <c r="E242" s="6">
        <f>IFERROR(((IPMT(Input!$E$55/12,B242,$C$6,Input!$E$54,-Input!$E$65,0)))," ")</f>
        <v>-2005.9251336798795</v>
      </c>
      <c r="F242" s="6">
        <f t="shared" si="39"/>
        <v>-1170655.2170656067</v>
      </c>
      <c r="G242" s="6">
        <f t="shared" si="38"/>
        <v>-1150790.1584226652</v>
      </c>
      <c r="H242" s="6">
        <f t="shared" si="34"/>
        <v>-10317.535002170102</v>
      </c>
      <c r="I242" s="6">
        <f t="shared" si="35"/>
        <v>429344.78293439327</v>
      </c>
      <c r="J242" s="6" t="str">
        <f>IF(B242&lt;&gt;"",IF(AND(Input!$H$54="Annual",MOD(B242,12)=0),Input!$J$54,IF(AND(Input!$H$54="1st Installment",B242=1),Input!$J$54,IF(Input!$H$54="Monthly",Input!$J$54,""))),"")</f>
        <v/>
      </c>
      <c r="K242" s="6" t="str">
        <f>IF(B242&lt;&gt;"",IF(AND(Input!$H$55="Annual",MOD(B242,12)=0),Input!$J$55,IF(AND(Input!$H$55="1st Installment",B242=1),Input!$J$55,IF(Input!$H$55="Monthly",Input!$J$55,""))),"")</f>
        <v/>
      </c>
      <c r="L242" s="6">
        <f>IF(B242&lt;&gt;"",IF(AND(Input!$H$56="Annual",MOD(B242,12)=0),Input!$J$56,IF(AND(Input!$H$56="1st Installment",B242=1),Input!$J$56,IF(Input!$H$56="Monthly",Input!$J$56,""))),"")</f>
        <v>208.33333333333334</v>
      </c>
      <c r="M242" s="6" t="str">
        <f>IF(B242&lt;&gt;"",IF(AND(Input!$H$57="Annual",MOD(B242,12)=0),Input!$J$57,IF(AND(Input!$H$57="1st Installment",B242=1),Input!$J$57,IF(Input!$H$57="Monthly",Input!$J$57,""))),"")</f>
        <v/>
      </c>
      <c r="N242" s="6" t="str">
        <f>IF(B242&lt;&gt;"",IF(AND(Input!$H$58="Annual",MOD(B242,12)=0),Input!$J$58,IF(AND(Input!$H$58="1st Installment",B242=1),Input!$J$58,IF(Input!$H$58="Monthly",Input!$J$58,IF(AND(Input!$H$58="End of the loan",B242=Input!$E$58),Input!$J$58,"")))),"")</f>
        <v/>
      </c>
      <c r="O242" s="6">
        <f t="shared" si="30"/>
        <v>208.33333333333334</v>
      </c>
      <c r="P242" s="4">
        <f t="shared" si="31"/>
        <v>10525.868335503435</v>
      </c>
      <c r="T242" s="9">
        <f t="shared" si="32"/>
        <v>52139</v>
      </c>
      <c r="U242" s="5">
        <f t="shared" si="33"/>
        <v>10525.87</v>
      </c>
    </row>
    <row r="243" spans="2:21" x14ac:dyDescent="0.2">
      <c r="B243" s="181">
        <f t="shared" si="36"/>
        <v>226</v>
      </c>
      <c r="C243" s="162">
        <f t="shared" si="37"/>
        <v>52169</v>
      </c>
      <c r="D243" s="6">
        <f>IFERROR((PPMT(Input!$E$55/12,B243,$C$6,Input!$E$54,-Input!$E$65,0))," ")</f>
        <v>-8349.7047470541347</v>
      </c>
      <c r="E243" s="6">
        <f>IFERROR(((IPMT(Input!$E$55/12,B243,$C$6,Input!$E$54,-Input!$E$65,0)))," ")</f>
        <v>-1967.8302551159659</v>
      </c>
      <c r="F243" s="6">
        <f t="shared" si="39"/>
        <v>-1179004.9218126608</v>
      </c>
      <c r="G243" s="6">
        <f t="shared" si="38"/>
        <v>-1152757.9886777811</v>
      </c>
      <c r="H243" s="6">
        <f t="shared" si="34"/>
        <v>-10317.535002170102</v>
      </c>
      <c r="I243" s="6">
        <f t="shared" si="35"/>
        <v>420995.07818733924</v>
      </c>
      <c r="J243" s="6" t="str">
        <f>IF(B243&lt;&gt;"",IF(AND(Input!$H$54="Annual",MOD(B243,12)=0),Input!$J$54,IF(AND(Input!$H$54="1st Installment",B243=1),Input!$J$54,IF(Input!$H$54="Monthly",Input!$J$54,""))),"")</f>
        <v/>
      </c>
      <c r="K243" s="6" t="str">
        <f>IF(B243&lt;&gt;"",IF(AND(Input!$H$55="Annual",MOD(B243,12)=0),Input!$J$55,IF(AND(Input!$H$55="1st Installment",B243=1),Input!$J$55,IF(Input!$H$55="Monthly",Input!$J$55,""))),"")</f>
        <v/>
      </c>
      <c r="L243" s="6">
        <f>IF(B243&lt;&gt;"",IF(AND(Input!$H$56="Annual",MOD(B243,12)=0),Input!$J$56,IF(AND(Input!$H$56="1st Installment",B243=1),Input!$J$56,IF(Input!$H$56="Monthly",Input!$J$56,""))),"")</f>
        <v>208.33333333333334</v>
      </c>
      <c r="M243" s="6" t="str">
        <f>IF(B243&lt;&gt;"",IF(AND(Input!$H$57="Annual",MOD(B243,12)=0),Input!$J$57,IF(AND(Input!$H$57="1st Installment",B243=1),Input!$J$57,IF(Input!$H$57="Monthly",Input!$J$57,""))),"")</f>
        <v/>
      </c>
      <c r="N243" s="6" t="str">
        <f>IF(B243&lt;&gt;"",IF(AND(Input!$H$58="Annual",MOD(B243,12)=0),Input!$J$58,IF(AND(Input!$H$58="1st Installment",B243=1),Input!$J$58,IF(Input!$H$58="Monthly",Input!$J$58,IF(AND(Input!$H$58="End of the loan",B243=Input!$E$58),Input!$J$58,"")))),"")</f>
        <v/>
      </c>
      <c r="O243" s="6">
        <f t="shared" si="30"/>
        <v>208.33333333333334</v>
      </c>
      <c r="P243" s="4">
        <f t="shared" si="31"/>
        <v>10525.868335503435</v>
      </c>
      <c r="T243" s="9">
        <f t="shared" si="32"/>
        <v>52169</v>
      </c>
      <c r="U243" s="5">
        <f t="shared" si="33"/>
        <v>10525.87</v>
      </c>
    </row>
    <row r="244" spans="2:21" x14ac:dyDescent="0.2">
      <c r="B244" s="181">
        <f t="shared" si="36"/>
        <v>227</v>
      </c>
      <c r="C244" s="162">
        <f t="shared" si="37"/>
        <v>52200</v>
      </c>
      <c r="D244" s="6">
        <f>IFERROR((PPMT(Input!$E$55/12,B244,$C$6,Input!$E$54,-Input!$E$65,0))," ")</f>
        <v>-8387.9742271447994</v>
      </c>
      <c r="E244" s="6">
        <f>IFERROR(((IPMT(Input!$E$55/12,B244,$C$6,Input!$E$54,-Input!$E$65,0)))," ")</f>
        <v>-1929.5607750253012</v>
      </c>
      <c r="F244" s="6">
        <f t="shared" si="39"/>
        <v>-1187392.8960398056</v>
      </c>
      <c r="G244" s="6">
        <f t="shared" si="38"/>
        <v>-1154687.5494528064</v>
      </c>
      <c r="H244" s="6">
        <f t="shared" si="34"/>
        <v>-10317.535002170102</v>
      </c>
      <c r="I244" s="6">
        <f t="shared" si="35"/>
        <v>412607.10396019439</v>
      </c>
      <c r="J244" s="6" t="str">
        <f>IF(B244&lt;&gt;"",IF(AND(Input!$H$54="Annual",MOD(B244,12)=0),Input!$J$54,IF(AND(Input!$H$54="1st Installment",B244=1),Input!$J$54,IF(Input!$H$54="Monthly",Input!$J$54,""))),"")</f>
        <v/>
      </c>
      <c r="K244" s="6" t="str">
        <f>IF(B244&lt;&gt;"",IF(AND(Input!$H$55="Annual",MOD(B244,12)=0),Input!$J$55,IF(AND(Input!$H$55="1st Installment",B244=1),Input!$J$55,IF(Input!$H$55="Monthly",Input!$J$55,""))),"")</f>
        <v/>
      </c>
      <c r="L244" s="6">
        <f>IF(B244&lt;&gt;"",IF(AND(Input!$H$56="Annual",MOD(B244,12)=0),Input!$J$56,IF(AND(Input!$H$56="1st Installment",B244=1),Input!$J$56,IF(Input!$H$56="Monthly",Input!$J$56,""))),"")</f>
        <v>208.33333333333334</v>
      </c>
      <c r="M244" s="6" t="str">
        <f>IF(B244&lt;&gt;"",IF(AND(Input!$H$57="Annual",MOD(B244,12)=0),Input!$J$57,IF(AND(Input!$H$57="1st Installment",B244=1),Input!$J$57,IF(Input!$H$57="Monthly",Input!$J$57,""))),"")</f>
        <v/>
      </c>
      <c r="N244" s="6" t="str">
        <f>IF(B244&lt;&gt;"",IF(AND(Input!$H$58="Annual",MOD(B244,12)=0),Input!$J$58,IF(AND(Input!$H$58="1st Installment",B244=1),Input!$J$58,IF(Input!$H$58="Monthly",Input!$J$58,IF(AND(Input!$H$58="End of the loan",B244=Input!$E$58),Input!$J$58,"")))),"")</f>
        <v/>
      </c>
      <c r="O244" s="6">
        <f t="shared" si="30"/>
        <v>208.33333333333334</v>
      </c>
      <c r="P244" s="4">
        <f t="shared" si="31"/>
        <v>10525.868335503435</v>
      </c>
      <c r="T244" s="9">
        <f t="shared" si="32"/>
        <v>52200</v>
      </c>
      <c r="U244" s="5">
        <f t="shared" si="33"/>
        <v>10525.87</v>
      </c>
    </row>
    <row r="245" spans="2:21" x14ac:dyDescent="0.2">
      <c r="B245" s="181">
        <f t="shared" si="36"/>
        <v>228</v>
      </c>
      <c r="C245" s="162">
        <f t="shared" si="37"/>
        <v>52230</v>
      </c>
      <c r="D245" s="6">
        <f>IFERROR((PPMT(Input!$E$55/12,B245,$C$6,Input!$E$54,-Input!$E$65,0))," ")</f>
        <v>-8426.4191090192144</v>
      </c>
      <c r="E245" s="6">
        <f>IFERROR(((IPMT(Input!$E$55/12,B245,$C$6,Input!$E$54,-Input!$E$65,0)))," ")</f>
        <v>-1891.1158931508876</v>
      </c>
      <c r="F245" s="6">
        <f t="shared" si="39"/>
        <v>-1195819.3151488248</v>
      </c>
      <c r="G245" s="6">
        <f t="shared" si="38"/>
        <v>-1156578.6653459573</v>
      </c>
      <c r="H245" s="6">
        <f t="shared" si="34"/>
        <v>-10317.535002170102</v>
      </c>
      <c r="I245" s="6">
        <f t="shared" si="35"/>
        <v>404180.68485117517</v>
      </c>
      <c r="J245" s="6" t="str">
        <f>IF(B245&lt;&gt;"",IF(AND(Input!$H$54="Annual",MOD(B245,12)=0),Input!$J$54,IF(AND(Input!$H$54="1st Installment",B245=1),Input!$J$54,IF(Input!$H$54="Monthly",Input!$J$54,""))),"")</f>
        <v/>
      </c>
      <c r="K245" s="6">
        <f>IF(B245&lt;&gt;"",IF(AND(Input!$H$55="Annual",MOD(B245,12)=0),Input!$J$55,IF(AND(Input!$H$55="1st Installment",B245=1),Input!$J$55,IF(Input!$H$55="Monthly",Input!$J$55,""))),"")</f>
        <v>0</v>
      </c>
      <c r="L245" s="6">
        <f>IF(B245&lt;&gt;"",IF(AND(Input!$H$56="Annual",MOD(B245,12)=0),Input!$J$56,IF(AND(Input!$H$56="1st Installment",B245=1),Input!$J$56,IF(Input!$H$56="Monthly",Input!$J$56,""))),"")</f>
        <v>208.33333333333334</v>
      </c>
      <c r="M245" s="6" t="str">
        <f>IF(B245&lt;&gt;"",IF(AND(Input!$H$57="Annual",MOD(B245,12)=0),Input!$J$57,IF(AND(Input!$H$57="1st Installment",B245=1),Input!$J$57,IF(Input!$H$57="Monthly",Input!$J$57,""))),"")</f>
        <v/>
      </c>
      <c r="N245" s="6">
        <f>IF(B245&lt;&gt;"",IF(AND(Input!$H$58="Annual",MOD(B245,12)=0),Input!$J$58,IF(AND(Input!$H$58="1st Installment",B245=1),Input!$J$58,IF(Input!$H$58="Monthly",Input!$J$58,IF(AND(Input!$H$58="End of the loan",B245=Input!$E$58),Input!$J$58,"")))),"")</f>
        <v>0</v>
      </c>
      <c r="O245" s="6">
        <f t="shared" si="30"/>
        <v>208.33333333333334</v>
      </c>
      <c r="P245" s="4">
        <f t="shared" si="31"/>
        <v>10525.868335503435</v>
      </c>
      <c r="T245" s="9">
        <f t="shared" si="32"/>
        <v>52230</v>
      </c>
      <c r="U245" s="5">
        <f t="shared" si="33"/>
        <v>10525.87</v>
      </c>
    </row>
    <row r="246" spans="2:21" x14ac:dyDescent="0.2">
      <c r="B246" s="181">
        <f t="shared" si="36"/>
        <v>229</v>
      </c>
      <c r="C246" s="162">
        <f t="shared" si="37"/>
        <v>52261</v>
      </c>
      <c r="D246" s="6">
        <f>IFERROR((PPMT(Input!$E$55/12,B246,$C$6,Input!$E$54,-Input!$E$65,0))," ")</f>
        <v>-8465.04019660222</v>
      </c>
      <c r="E246" s="6">
        <f>IFERROR(((IPMT(Input!$E$55/12,B246,$C$6,Input!$E$54,-Input!$E$65,0)))," ")</f>
        <v>-1852.4948055678828</v>
      </c>
      <c r="F246" s="6">
        <f t="shared" si="39"/>
        <v>-1204284.3553454271</v>
      </c>
      <c r="G246" s="6">
        <f t="shared" si="38"/>
        <v>-1158431.1601515252</v>
      </c>
      <c r="H246" s="6">
        <f t="shared" si="34"/>
        <v>-10317.535002170103</v>
      </c>
      <c r="I246" s="6">
        <f t="shared" si="35"/>
        <v>395715.64465457294</v>
      </c>
      <c r="J246" s="6" t="str">
        <f>IF(B246&lt;&gt;"",IF(AND(Input!$H$54="Annual",MOD(B246,12)=0),Input!$J$54,IF(AND(Input!$H$54="1st Installment",B246=1),Input!$J$54,IF(Input!$H$54="Monthly",Input!$J$54,""))),"")</f>
        <v/>
      </c>
      <c r="K246" s="6" t="str">
        <f>IF(B246&lt;&gt;"",IF(AND(Input!$H$55="Annual",MOD(B246,12)=0),Input!$J$55,IF(AND(Input!$H$55="1st Installment",B246=1),Input!$J$55,IF(Input!$H$55="Monthly",Input!$J$55,""))),"")</f>
        <v/>
      </c>
      <c r="L246" s="6">
        <f>IF(B246&lt;&gt;"",IF(AND(Input!$H$56="Annual",MOD(B246,12)=0),Input!$J$56,IF(AND(Input!$H$56="1st Installment",B246=1),Input!$J$56,IF(Input!$H$56="Monthly",Input!$J$56,""))),"")</f>
        <v>208.33333333333334</v>
      </c>
      <c r="M246" s="6" t="str">
        <f>IF(B246&lt;&gt;"",IF(AND(Input!$H$57="Annual",MOD(B246,12)=0),Input!$J$57,IF(AND(Input!$H$57="1st Installment",B246=1),Input!$J$57,IF(Input!$H$57="Monthly",Input!$J$57,""))),"")</f>
        <v/>
      </c>
      <c r="N246" s="6" t="str">
        <f>IF(B246&lt;&gt;"",IF(AND(Input!$H$58="Annual",MOD(B246,12)=0),Input!$J$58,IF(AND(Input!$H$58="1st Installment",B246=1),Input!$J$58,IF(Input!$H$58="Monthly",Input!$J$58,IF(AND(Input!$H$58="End of the loan",B246=Input!$E$58),Input!$J$58,"")))),"")</f>
        <v/>
      </c>
      <c r="O246" s="6">
        <f t="shared" si="30"/>
        <v>208.33333333333334</v>
      </c>
      <c r="P246" s="4">
        <f t="shared" si="31"/>
        <v>10525.868335503437</v>
      </c>
      <c r="T246" s="9">
        <f t="shared" si="32"/>
        <v>52261</v>
      </c>
      <c r="U246" s="5">
        <f t="shared" si="33"/>
        <v>10525.87</v>
      </c>
    </row>
    <row r="247" spans="2:21" x14ac:dyDescent="0.2">
      <c r="B247" s="181">
        <f t="shared" si="36"/>
        <v>230</v>
      </c>
      <c r="C247" s="162">
        <f t="shared" si="37"/>
        <v>52290</v>
      </c>
      <c r="D247" s="6">
        <f>IFERROR((PPMT(Input!$E$55/12,B247,$C$6,Input!$E$54,-Input!$E$65,0))," ")</f>
        <v>-8503.8382975033128</v>
      </c>
      <c r="E247" s="6">
        <f>IFERROR(((IPMT(Input!$E$55/12,B247,$C$6,Input!$E$54,-Input!$E$65,0)))," ")</f>
        <v>-1813.6967046667892</v>
      </c>
      <c r="F247" s="6">
        <f t="shared" si="39"/>
        <v>-1212788.1936429304</v>
      </c>
      <c r="G247" s="6">
        <f t="shared" si="38"/>
        <v>-1160244.856856192</v>
      </c>
      <c r="H247" s="6">
        <f t="shared" si="34"/>
        <v>-10317.535002170102</v>
      </c>
      <c r="I247" s="6">
        <f t="shared" si="35"/>
        <v>387211.80635706964</v>
      </c>
      <c r="J247" s="6" t="str">
        <f>IF(B247&lt;&gt;"",IF(AND(Input!$H$54="Annual",MOD(B247,12)=0),Input!$J$54,IF(AND(Input!$H$54="1st Installment",B247=1),Input!$J$54,IF(Input!$H$54="Monthly",Input!$J$54,""))),"")</f>
        <v/>
      </c>
      <c r="K247" s="6" t="str">
        <f>IF(B247&lt;&gt;"",IF(AND(Input!$H$55="Annual",MOD(B247,12)=0),Input!$J$55,IF(AND(Input!$H$55="1st Installment",B247=1),Input!$J$55,IF(Input!$H$55="Monthly",Input!$J$55,""))),"")</f>
        <v/>
      </c>
      <c r="L247" s="6">
        <f>IF(B247&lt;&gt;"",IF(AND(Input!$H$56="Annual",MOD(B247,12)=0),Input!$J$56,IF(AND(Input!$H$56="1st Installment",B247=1),Input!$J$56,IF(Input!$H$56="Monthly",Input!$J$56,""))),"")</f>
        <v>208.33333333333334</v>
      </c>
      <c r="M247" s="6" t="str">
        <f>IF(B247&lt;&gt;"",IF(AND(Input!$H$57="Annual",MOD(B247,12)=0),Input!$J$57,IF(AND(Input!$H$57="1st Installment",B247=1),Input!$J$57,IF(Input!$H$57="Monthly",Input!$J$57,""))),"")</f>
        <v/>
      </c>
      <c r="N247" s="6" t="str">
        <f>IF(B247&lt;&gt;"",IF(AND(Input!$H$58="Annual",MOD(B247,12)=0),Input!$J$58,IF(AND(Input!$H$58="1st Installment",B247=1),Input!$J$58,IF(Input!$H$58="Monthly",Input!$J$58,IF(AND(Input!$H$58="End of the loan",B247=Input!$E$58),Input!$J$58,"")))),"")</f>
        <v/>
      </c>
      <c r="O247" s="6">
        <f t="shared" si="30"/>
        <v>208.33333333333334</v>
      </c>
      <c r="P247" s="4">
        <f t="shared" si="31"/>
        <v>10525.868335503435</v>
      </c>
      <c r="T247" s="9">
        <f t="shared" si="32"/>
        <v>52290</v>
      </c>
      <c r="U247" s="5">
        <f t="shared" si="33"/>
        <v>10525.87</v>
      </c>
    </row>
    <row r="248" spans="2:21" x14ac:dyDescent="0.2">
      <c r="B248" s="181">
        <f t="shared" si="36"/>
        <v>231</v>
      </c>
      <c r="C248" s="162">
        <f t="shared" si="37"/>
        <v>52320</v>
      </c>
      <c r="D248" s="6">
        <f>IFERROR((PPMT(Input!$E$55/12,B248,$C$6,Input!$E$54,-Input!$E$65,0))," ")</f>
        <v>-8542.8142230335361</v>
      </c>
      <c r="E248" s="6">
        <f>IFERROR(((IPMT(Input!$E$55/12,B248,$C$6,Input!$E$54,-Input!$E$65,0)))," ")</f>
        <v>-1774.7207791365656</v>
      </c>
      <c r="F248" s="6">
        <f t="shared" si="39"/>
        <v>-1221331.007865964</v>
      </c>
      <c r="G248" s="6">
        <f t="shared" si="38"/>
        <v>-1162019.5776353285</v>
      </c>
      <c r="H248" s="6">
        <f t="shared" si="34"/>
        <v>-10317.535002170102</v>
      </c>
      <c r="I248" s="6">
        <f t="shared" si="35"/>
        <v>378668.99213403603</v>
      </c>
      <c r="J248" s="6" t="str">
        <f>IF(B248&lt;&gt;"",IF(AND(Input!$H$54="Annual",MOD(B248,12)=0),Input!$J$54,IF(AND(Input!$H$54="1st Installment",B248=1),Input!$J$54,IF(Input!$H$54="Monthly",Input!$J$54,""))),"")</f>
        <v/>
      </c>
      <c r="K248" s="6" t="str">
        <f>IF(B248&lt;&gt;"",IF(AND(Input!$H$55="Annual",MOD(B248,12)=0),Input!$J$55,IF(AND(Input!$H$55="1st Installment",B248=1),Input!$J$55,IF(Input!$H$55="Monthly",Input!$J$55,""))),"")</f>
        <v/>
      </c>
      <c r="L248" s="6">
        <f>IF(B248&lt;&gt;"",IF(AND(Input!$H$56="Annual",MOD(B248,12)=0),Input!$J$56,IF(AND(Input!$H$56="1st Installment",B248=1),Input!$J$56,IF(Input!$H$56="Monthly",Input!$J$56,""))),"")</f>
        <v>208.33333333333334</v>
      </c>
      <c r="M248" s="6" t="str">
        <f>IF(B248&lt;&gt;"",IF(AND(Input!$H$57="Annual",MOD(B248,12)=0),Input!$J$57,IF(AND(Input!$H$57="1st Installment",B248=1),Input!$J$57,IF(Input!$H$57="Monthly",Input!$J$57,""))),"")</f>
        <v/>
      </c>
      <c r="N248" s="6" t="str">
        <f>IF(B248&lt;&gt;"",IF(AND(Input!$H$58="Annual",MOD(B248,12)=0),Input!$J$58,IF(AND(Input!$H$58="1st Installment",B248=1),Input!$J$58,IF(Input!$H$58="Monthly",Input!$J$58,IF(AND(Input!$H$58="End of the loan",B248=Input!$E$58),Input!$J$58,"")))),"")</f>
        <v/>
      </c>
      <c r="O248" s="6">
        <f t="shared" si="30"/>
        <v>208.33333333333334</v>
      </c>
      <c r="P248" s="4">
        <f t="shared" si="31"/>
        <v>10525.868335503435</v>
      </c>
      <c r="T248" s="9">
        <f t="shared" si="32"/>
        <v>52320</v>
      </c>
      <c r="U248" s="5">
        <f t="shared" si="33"/>
        <v>10525.87</v>
      </c>
    </row>
    <row r="249" spans="2:21" x14ac:dyDescent="0.2">
      <c r="B249" s="181">
        <f t="shared" si="36"/>
        <v>232</v>
      </c>
      <c r="C249" s="162">
        <f t="shared" si="37"/>
        <v>52351</v>
      </c>
      <c r="D249" s="6">
        <f>IFERROR((PPMT(Input!$E$55/12,B249,$C$6,Input!$E$54,-Input!$E$65,0))," ")</f>
        <v>-8581.9687882224389</v>
      </c>
      <c r="E249" s="6">
        <f>IFERROR(((IPMT(Input!$E$55/12,B249,$C$6,Input!$E$54,-Input!$E$65,0)))," ")</f>
        <v>-1735.5662139476619</v>
      </c>
      <c r="F249" s="6">
        <f t="shared" si="39"/>
        <v>-1229912.9766541864</v>
      </c>
      <c r="G249" s="6">
        <f t="shared" si="38"/>
        <v>-1163755.1438492762</v>
      </c>
      <c r="H249" s="6">
        <f t="shared" si="34"/>
        <v>-10317.535002170102</v>
      </c>
      <c r="I249" s="6">
        <f t="shared" si="35"/>
        <v>370087.02334581362</v>
      </c>
      <c r="J249" s="6" t="str">
        <f>IF(B249&lt;&gt;"",IF(AND(Input!$H$54="Annual",MOD(B249,12)=0),Input!$J$54,IF(AND(Input!$H$54="1st Installment",B249=1),Input!$J$54,IF(Input!$H$54="Monthly",Input!$J$54,""))),"")</f>
        <v/>
      </c>
      <c r="K249" s="6" t="str">
        <f>IF(B249&lt;&gt;"",IF(AND(Input!$H$55="Annual",MOD(B249,12)=0),Input!$J$55,IF(AND(Input!$H$55="1st Installment",B249=1),Input!$J$55,IF(Input!$H$55="Monthly",Input!$J$55,""))),"")</f>
        <v/>
      </c>
      <c r="L249" s="6">
        <f>IF(B249&lt;&gt;"",IF(AND(Input!$H$56="Annual",MOD(B249,12)=0),Input!$J$56,IF(AND(Input!$H$56="1st Installment",B249=1),Input!$J$56,IF(Input!$H$56="Monthly",Input!$J$56,""))),"")</f>
        <v>208.33333333333334</v>
      </c>
      <c r="M249" s="6" t="str">
        <f>IF(B249&lt;&gt;"",IF(AND(Input!$H$57="Annual",MOD(B249,12)=0),Input!$J$57,IF(AND(Input!$H$57="1st Installment",B249=1),Input!$J$57,IF(Input!$H$57="Monthly",Input!$J$57,""))),"")</f>
        <v/>
      </c>
      <c r="N249" s="6" t="str">
        <f>IF(B249&lt;&gt;"",IF(AND(Input!$H$58="Annual",MOD(B249,12)=0),Input!$J$58,IF(AND(Input!$H$58="1st Installment",B249=1),Input!$J$58,IF(Input!$H$58="Monthly",Input!$J$58,IF(AND(Input!$H$58="End of the loan",B249=Input!$E$58),Input!$J$58,"")))),"")</f>
        <v/>
      </c>
      <c r="O249" s="6">
        <f t="shared" si="30"/>
        <v>208.33333333333334</v>
      </c>
      <c r="P249" s="4">
        <f t="shared" si="31"/>
        <v>10525.868335503435</v>
      </c>
      <c r="T249" s="9">
        <f t="shared" si="32"/>
        <v>52351</v>
      </c>
      <c r="U249" s="5">
        <f t="shared" si="33"/>
        <v>10525.87</v>
      </c>
    </row>
    <row r="250" spans="2:21" x14ac:dyDescent="0.2">
      <c r="B250" s="181">
        <f t="shared" si="36"/>
        <v>233</v>
      </c>
      <c r="C250" s="162">
        <f t="shared" si="37"/>
        <v>52381</v>
      </c>
      <c r="D250" s="6">
        <f>IFERROR((PPMT(Input!$E$55/12,B250,$C$6,Input!$E$54,-Input!$E$65,0))," ")</f>
        <v>-8621.3028118351249</v>
      </c>
      <c r="E250" s="6">
        <f>IFERROR(((IPMT(Input!$E$55/12,B250,$C$6,Input!$E$54,-Input!$E$65,0)))," ")</f>
        <v>-1696.2321903349759</v>
      </c>
      <c r="F250" s="6">
        <f t="shared" si="39"/>
        <v>-1238534.2794660216</v>
      </c>
      <c r="G250" s="6">
        <f t="shared" si="38"/>
        <v>-1165451.3760396112</v>
      </c>
      <c r="H250" s="6">
        <f t="shared" si="34"/>
        <v>-10317.535002170102</v>
      </c>
      <c r="I250" s="6">
        <f t="shared" si="35"/>
        <v>361465.72053397843</v>
      </c>
      <c r="J250" s="6" t="str">
        <f>IF(B250&lt;&gt;"",IF(AND(Input!$H$54="Annual",MOD(B250,12)=0),Input!$J$54,IF(AND(Input!$H$54="1st Installment",B250=1),Input!$J$54,IF(Input!$H$54="Monthly",Input!$J$54,""))),"")</f>
        <v/>
      </c>
      <c r="K250" s="6" t="str">
        <f>IF(B250&lt;&gt;"",IF(AND(Input!$H$55="Annual",MOD(B250,12)=0),Input!$J$55,IF(AND(Input!$H$55="1st Installment",B250=1),Input!$J$55,IF(Input!$H$55="Monthly",Input!$J$55,""))),"")</f>
        <v/>
      </c>
      <c r="L250" s="6">
        <f>IF(B250&lt;&gt;"",IF(AND(Input!$H$56="Annual",MOD(B250,12)=0),Input!$J$56,IF(AND(Input!$H$56="1st Installment",B250=1),Input!$J$56,IF(Input!$H$56="Monthly",Input!$J$56,""))),"")</f>
        <v>208.33333333333334</v>
      </c>
      <c r="M250" s="6" t="str">
        <f>IF(B250&lt;&gt;"",IF(AND(Input!$H$57="Annual",MOD(B250,12)=0),Input!$J$57,IF(AND(Input!$H$57="1st Installment",B250=1),Input!$J$57,IF(Input!$H$57="Monthly",Input!$J$57,""))),"")</f>
        <v/>
      </c>
      <c r="N250" s="6" t="str">
        <f>IF(B250&lt;&gt;"",IF(AND(Input!$H$58="Annual",MOD(B250,12)=0),Input!$J$58,IF(AND(Input!$H$58="1st Installment",B250=1),Input!$J$58,IF(Input!$H$58="Monthly",Input!$J$58,IF(AND(Input!$H$58="End of the loan",B250=Input!$E$58),Input!$J$58,"")))),"")</f>
        <v/>
      </c>
      <c r="O250" s="6">
        <f t="shared" si="30"/>
        <v>208.33333333333334</v>
      </c>
      <c r="P250" s="4">
        <f t="shared" si="31"/>
        <v>10525.868335503435</v>
      </c>
      <c r="T250" s="9">
        <f t="shared" si="32"/>
        <v>52381</v>
      </c>
      <c r="U250" s="5">
        <f t="shared" si="33"/>
        <v>10525.87</v>
      </c>
    </row>
    <row r="251" spans="2:21" x14ac:dyDescent="0.2">
      <c r="B251" s="181">
        <f t="shared" si="36"/>
        <v>234</v>
      </c>
      <c r="C251" s="162">
        <f t="shared" si="37"/>
        <v>52412</v>
      </c>
      <c r="D251" s="6">
        <f>IFERROR((PPMT(Input!$E$55/12,B251,$C$6,Input!$E$54,-Input!$E$65,0))," ")</f>
        <v>-8660.8171163893694</v>
      </c>
      <c r="E251" s="6">
        <f>IFERROR(((IPMT(Input!$E$55/12,B251,$C$6,Input!$E$54,-Input!$E$65,0)))," ")</f>
        <v>-1656.7178857807314</v>
      </c>
      <c r="F251" s="6">
        <f t="shared" si="39"/>
        <v>-1247195.0965824109</v>
      </c>
      <c r="G251" s="6">
        <f t="shared" si="38"/>
        <v>-1167108.093925392</v>
      </c>
      <c r="H251" s="6">
        <f t="shared" si="34"/>
        <v>-10317.535002170102</v>
      </c>
      <c r="I251" s="6">
        <f t="shared" si="35"/>
        <v>352804.90341758914</v>
      </c>
      <c r="J251" s="6" t="str">
        <f>IF(B251&lt;&gt;"",IF(AND(Input!$H$54="Annual",MOD(B251,12)=0),Input!$J$54,IF(AND(Input!$H$54="1st Installment",B251=1),Input!$J$54,IF(Input!$H$54="Monthly",Input!$J$54,""))),"")</f>
        <v/>
      </c>
      <c r="K251" s="6" t="str">
        <f>IF(B251&lt;&gt;"",IF(AND(Input!$H$55="Annual",MOD(B251,12)=0),Input!$J$55,IF(AND(Input!$H$55="1st Installment",B251=1),Input!$J$55,IF(Input!$H$55="Monthly",Input!$J$55,""))),"")</f>
        <v/>
      </c>
      <c r="L251" s="6">
        <f>IF(B251&lt;&gt;"",IF(AND(Input!$H$56="Annual",MOD(B251,12)=0),Input!$J$56,IF(AND(Input!$H$56="1st Installment",B251=1),Input!$J$56,IF(Input!$H$56="Monthly",Input!$J$56,""))),"")</f>
        <v>208.33333333333334</v>
      </c>
      <c r="M251" s="6" t="str">
        <f>IF(B251&lt;&gt;"",IF(AND(Input!$H$57="Annual",MOD(B251,12)=0),Input!$J$57,IF(AND(Input!$H$57="1st Installment",B251=1),Input!$J$57,IF(Input!$H$57="Monthly",Input!$J$57,""))),"")</f>
        <v/>
      </c>
      <c r="N251" s="6" t="str">
        <f>IF(B251&lt;&gt;"",IF(AND(Input!$H$58="Annual",MOD(B251,12)=0),Input!$J$58,IF(AND(Input!$H$58="1st Installment",B251=1),Input!$J$58,IF(Input!$H$58="Monthly",Input!$J$58,IF(AND(Input!$H$58="End of the loan",B251=Input!$E$58),Input!$J$58,"")))),"")</f>
        <v/>
      </c>
      <c r="O251" s="6">
        <f t="shared" si="30"/>
        <v>208.33333333333334</v>
      </c>
      <c r="P251" s="4">
        <f t="shared" si="31"/>
        <v>10525.868335503435</v>
      </c>
      <c r="T251" s="9">
        <f t="shared" si="32"/>
        <v>52412</v>
      </c>
      <c r="U251" s="5">
        <f t="shared" si="33"/>
        <v>10525.87</v>
      </c>
    </row>
    <row r="252" spans="2:21" x14ac:dyDescent="0.2">
      <c r="B252" s="181">
        <f t="shared" si="36"/>
        <v>235</v>
      </c>
      <c r="C252" s="162">
        <f t="shared" si="37"/>
        <v>52442</v>
      </c>
      <c r="D252" s="6">
        <f>IFERROR((PPMT(Input!$E$55/12,B252,$C$6,Input!$E$54,-Input!$E$65,0))," ")</f>
        <v>-8700.5125281728215</v>
      </c>
      <c r="E252" s="6">
        <f>IFERROR(((IPMT(Input!$E$55/12,B252,$C$6,Input!$E$54,-Input!$E$65,0)))," ")</f>
        <v>-1617.02247399728</v>
      </c>
      <c r="F252" s="6">
        <f t="shared" si="39"/>
        <v>-1255895.6091105838</v>
      </c>
      <c r="G252" s="6">
        <f t="shared" si="38"/>
        <v>-1168725.1163993892</v>
      </c>
      <c r="H252" s="6">
        <f t="shared" si="34"/>
        <v>-10317.535002170102</v>
      </c>
      <c r="I252" s="6">
        <f t="shared" si="35"/>
        <v>344104.39088941622</v>
      </c>
      <c r="J252" s="6" t="str">
        <f>IF(B252&lt;&gt;"",IF(AND(Input!$H$54="Annual",MOD(B252,12)=0),Input!$J$54,IF(AND(Input!$H$54="1st Installment",B252=1),Input!$J$54,IF(Input!$H$54="Monthly",Input!$J$54,""))),"")</f>
        <v/>
      </c>
      <c r="K252" s="6" t="str">
        <f>IF(B252&lt;&gt;"",IF(AND(Input!$H$55="Annual",MOD(B252,12)=0),Input!$J$55,IF(AND(Input!$H$55="1st Installment",B252=1),Input!$J$55,IF(Input!$H$55="Monthly",Input!$J$55,""))),"")</f>
        <v/>
      </c>
      <c r="L252" s="6">
        <f>IF(B252&lt;&gt;"",IF(AND(Input!$H$56="Annual",MOD(B252,12)=0),Input!$J$56,IF(AND(Input!$H$56="1st Installment",B252=1),Input!$J$56,IF(Input!$H$56="Monthly",Input!$J$56,""))),"")</f>
        <v>208.33333333333334</v>
      </c>
      <c r="M252" s="6" t="str">
        <f>IF(B252&lt;&gt;"",IF(AND(Input!$H$57="Annual",MOD(B252,12)=0),Input!$J$57,IF(AND(Input!$H$57="1st Installment",B252=1),Input!$J$57,IF(Input!$H$57="Monthly",Input!$J$57,""))),"")</f>
        <v/>
      </c>
      <c r="N252" s="6" t="str">
        <f>IF(B252&lt;&gt;"",IF(AND(Input!$H$58="Annual",MOD(B252,12)=0),Input!$J$58,IF(AND(Input!$H$58="1st Installment",B252=1),Input!$J$58,IF(Input!$H$58="Monthly",Input!$J$58,IF(AND(Input!$H$58="End of the loan",B252=Input!$E$58),Input!$J$58,"")))),"")</f>
        <v/>
      </c>
      <c r="O252" s="6">
        <f t="shared" si="30"/>
        <v>208.33333333333334</v>
      </c>
      <c r="P252" s="4">
        <f t="shared" si="31"/>
        <v>10525.868335503435</v>
      </c>
      <c r="T252" s="9">
        <f t="shared" si="32"/>
        <v>52442</v>
      </c>
      <c r="U252" s="5">
        <f t="shared" si="33"/>
        <v>10525.87</v>
      </c>
    </row>
    <row r="253" spans="2:21" x14ac:dyDescent="0.2">
      <c r="B253" s="181">
        <f t="shared" si="36"/>
        <v>236</v>
      </c>
      <c r="C253" s="162">
        <f t="shared" si="37"/>
        <v>52473</v>
      </c>
      <c r="D253" s="6">
        <f>IFERROR((PPMT(Input!$E$55/12,B253,$C$6,Input!$E$54,-Input!$E$65,0))," ")</f>
        <v>-8740.3898772602806</v>
      </c>
      <c r="E253" s="6">
        <f>IFERROR(((IPMT(Input!$E$55/12,B253,$C$6,Input!$E$54,-Input!$E$65,0)))," ")</f>
        <v>-1577.1451249098213</v>
      </c>
      <c r="F253" s="6">
        <f t="shared" si="39"/>
        <v>-1264635.998987844</v>
      </c>
      <c r="G253" s="6">
        <f t="shared" si="38"/>
        <v>-1170302.2615242992</v>
      </c>
      <c r="H253" s="6">
        <f t="shared" si="34"/>
        <v>-10317.535002170102</v>
      </c>
      <c r="I253" s="6">
        <f t="shared" si="35"/>
        <v>335364.00101215602</v>
      </c>
      <c r="J253" s="6" t="str">
        <f>IF(B253&lt;&gt;"",IF(AND(Input!$H$54="Annual",MOD(B253,12)=0),Input!$J$54,IF(AND(Input!$H$54="1st Installment",B253=1),Input!$J$54,IF(Input!$H$54="Monthly",Input!$J$54,""))),"")</f>
        <v/>
      </c>
      <c r="K253" s="6" t="str">
        <f>IF(B253&lt;&gt;"",IF(AND(Input!$H$55="Annual",MOD(B253,12)=0),Input!$J$55,IF(AND(Input!$H$55="1st Installment",B253=1),Input!$J$55,IF(Input!$H$55="Monthly",Input!$J$55,""))),"")</f>
        <v/>
      </c>
      <c r="L253" s="6">
        <f>IF(B253&lt;&gt;"",IF(AND(Input!$H$56="Annual",MOD(B253,12)=0),Input!$J$56,IF(AND(Input!$H$56="1st Installment",B253=1),Input!$J$56,IF(Input!$H$56="Monthly",Input!$J$56,""))),"")</f>
        <v>208.33333333333334</v>
      </c>
      <c r="M253" s="6" t="str">
        <f>IF(B253&lt;&gt;"",IF(AND(Input!$H$57="Annual",MOD(B253,12)=0),Input!$J$57,IF(AND(Input!$H$57="1st Installment",B253=1),Input!$J$57,IF(Input!$H$57="Monthly",Input!$J$57,""))),"")</f>
        <v/>
      </c>
      <c r="N253" s="6" t="str">
        <f>IF(B253&lt;&gt;"",IF(AND(Input!$H$58="Annual",MOD(B253,12)=0),Input!$J$58,IF(AND(Input!$H$58="1st Installment",B253=1),Input!$J$58,IF(Input!$H$58="Monthly",Input!$J$58,IF(AND(Input!$H$58="End of the loan",B253=Input!$E$58),Input!$J$58,"")))),"")</f>
        <v/>
      </c>
      <c r="O253" s="6">
        <f t="shared" si="30"/>
        <v>208.33333333333334</v>
      </c>
      <c r="P253" s="4">
        <f t="shared" si="31"/>
        <v>10525.868335503435</v>
      </c>
      <c r="T253" s="9">
        <f t="shared" si="32"/>
        <v>52473</v>
      </c>
      <c r="U253" s="5">
        <f t="shared" si="33"/>
        <v>10525.87</v>
      </c>
    </row>
    <row r="254" spans="2:21" x14ac:dyDescent="0.2">
      <c r="B254" s="181">
        <f t="shared" si="36"/>
        <v>237</v>
      </c>
      <c r="C254" s="162">
        <f t="shared" si="37"/>
        <v>52504</v>
      </c>
      <c r="D254" s="6">
        <f>IFERROR((PPMT(Input!$E$55/12,B254,$C$6,Input!$E$54,-Input!$E$65,0))," ")</f>
        <v>-8780.4499975310555</v>
      </c>
      <c r="E254" s="6">
        <f>IFERROR(((IPMT(Input!$E$55/12,B254,$C$6,Input!$E$54,-Input!$E$65,0)))," ")</f>
        <v>-1537.0850046390453</v>
      </c>
      <c r="F254" s="6">
        <f t="shared" si="39"/>
        <v>-1273416.448985375</v>
      </c>
      <c r="G254" s="6">
        <f t="shared" si="38"/>
        <v>-1171839.3465289383</v>
      </c>
      <c r="H254" s="6">
        <f t="shared" si="34"/>
        <v>-10317.535002170102</v>
      </c>
      <c r="I254" s="6">
        <f t="shared" si="35"/>
        <v>326583.551014625</v>
      </c>
      <c r="J254" s="6" t="str">
        <f>IF(B254&lt;&gt;"",IF(AND(Input!$H$54="Annual",MOD(B254,12)=0),Input!$J$54,IF(AND(Input!$H$54="1st Installment",B254=1),Input!$J$54,IF(Input!$H$54="Monthly",Input!$J$54,""))),"")</f>
        <v/>
      </c>
      <c r="K254" s="6" t="str">
        <f>IF(B254&lt;&gt;"",IF(AND(Input!$H$55="Annual",MOD(B254,12)=0),Input!$J$55,IF(AND(Input!$H$55="1st Installment",B254=1),Input!$J$55,IF(Input!$H$55="Monthly",Input!$J$55,""))),"")</f>
        <v/>
      </c>
      <c r="L254" s="6">
        <f>IF(B254&lt;&gt;"",IF(AND(Input!$H$56="Annual",MOD(B254,12)=0),Input!$J$56,IF(AND(Input!$H$56="1st Installment",B254=1),Input!$J$56,IF(Input!$H$56="Monthly",Input!$J$56,""))),"")</f>
        <v>208.33333333333334</v>
      </c>
      <c r="M254" s="6" t="str">
        <f>IF(B254&lt;&gt;"",IF(AND(Input!$H$57="Annual",MOD(B254,12)=0),Input!$J$57,IF(AND(Input!$H$57="1st Installment",B254=1),Input!$J$57,IF(Input!$H$57="Monthly",Input!$J$57,""))),"")</f>
        <v/>
      </c>
      <c r="N254" s="6" t="str">
        <f>IF(B254&lt;&gt;"",IF(AND(Input!$H$58="Annual",MOD(B254,12)=0),Input!$J$58,IF(AND(Input!$H$58="1st Installment",B254=1),Input!$J$58,IF(Input!$H$58="Monthly",Input!$J$58,IF(AND(Input!$H$58="End of the loan",B254=Input!$E$58),Input!$J$58,"")))),"")</f>
        <v/>
      </c>
      <c r="O254" s="6">
        <f t="shared" si="30"/>
        <v>208.33333333333334</v>
      </c>
      <c r="P254" s="4">
        <f t="shared" si="31"/>
        <v>10525.868335503435</v>
      </c>
      <c r="T254" s="9">
        <f t="shared" si="32"/>
        <v>52504</v>
      </c>
      <c r="U254" s="5">
        <f t="shared" si="33"/>
        <v>10525.87</v>
      </c>
    </row>
    <row r="255" spans="2:21" x14ac:dyDescent="0.2">
      <c r="B255" s="181">
        <f t="shared" si="36"/>
        <v>238</v>
      </c>
      <c r="C255" s="162">
        <f t="shared" si="37"/>
        <v>52534</v>
      </c>
      <c r="D255" s="6">
        <f>IFERROR((PPMT(Input!$E$55/12,B255,$C$6,Input!$E$54,-Input!$E$65,0))," ")</f>
        <v>-8820.6937266864061</v>
      </c>
      <c r="E255" s="6">
        <f>IFERROR(((IPMT(Input!$E$55/12,B255,$C$6,Input!$E$54,-Input!$E$65,0)))," ")</f>
        <v>-1496.8412754836945</v>
      </c>
      <c r="F255" s="6">
        <f t="shared" si="39"/>
        <v>-1282237.1427120613</v>
      </c>
      <c r="G255" s="6">
        <f t="shared" si="38"/>
        <v>-1173336.1878044219</v>
      </c>
      <c r="H255" s="6">
        <f t="shared" si="34"/>
        <v>-10317.535002170102</v>
      </c>
      <c r="I255" s="6">
        <f t="shared" si="35"/>
        <v>317762.85728793871</v>
      </c>
      <c r="J255" s="6" t="str">
        <f>IF(B255&lt;&gt;"",IF(AND(Input!$H$54="Annual",MOD(B255,12)=0),Input!$J$54,IF(AND(Input!$H$54="1st Installment",B255=1),Input!$J$54,IF(Input!$H$54="Monthly",Input!$J$54,""))),"")</f>
        <v/>
      </c>
      <c r="K255" s="6" t="str">
        <f>IF(B255&lt;&gt;"",IF(AND(Input!$H$55="Annual",MOD(B255,12)=0),Input!$J$55,IF(AND(Input!$H$55="1st Installment",B255=1),Input!$J$55,IF(Input!$H$55="Monthly",Input!$J$55,""))),"")</f>
        <v/>
      </c>
      <c r="L255" s="6">
        <f>IF(B255&lt;&gt;"",IF(AND(Input!$H$56="Annual",MOD(B255,12)=0),Input!$J$56,IF(AND(Input!$H$56="1st Installment",B255=1),Input!$J$56,IF(Input!$H$56="Monthly",Input!$J$56,""))),"")</f>
        <v>208.33333333333334</v>
      </c>
      <c r="M255" s="6" t="str">
        <f>IF(B255&lt;&gt;"",IF(AND(Input!$H$57="Annual",MOD(B255,12)=0),Input!$J$57,IF(AND(Input!$H$57="1st Installment",B255=1),Input!$J$57,IF(Input!$H$57="Monthly",Input!$J$57,""))),"")</f>
        <v/>
      </c>
      <c r="N255" s="6" t="str">
        <f>IF(B255&lt;&gt;"",IF(AND(Input!$H$58="Annual",MOD(B255,12)=0),Input!$J$58,IF(AND(Input!$H$58="1st Installment",B255=1),Input!$J$58,IF(Input!$H$58="Monthly",Input!$J$58,IF(AND(Input!$H$58="End of the loan",B255=Input!$E$58),Input!$J$58,"")))),"")</f>
        <v/>
      </c>
      <c r="O255" s="6">
        <f t="shared" si="30"/>
        <v>208.33333333333334</v>
      </c>
      <c r="P255" s="4">
        <f t="shared" si="31"/>
        <v>10525.868335503435</v>
      </c>
      <c r="T255" s="9">
        <f t="shared" si="32"/>
        <v>52534</v>
      </c>
      <c r="U255" s="5">
        <f t="shared" si="33"/>
        <v>10525.87</v>
      </c>
    </row>
    <row r="256" spans="2:21" x14ac:dyDescent="0.2">
      <c r="B256" s="181">
        <f t="shared" si="36"/>
        <v>239</v>
      </c>
      <c r="C256" s="162">
        <f t="shared" si="37"/>
        <v>52565</v>
      </c>
      <c r="D256" s="6">
        <f>IFERROR((PPMT(Input!$E$55/12,B256,$C$6,Input!$E$54,-Input!$E$65,0))," ")</f>
        <v>-8861.1219062670516</v>
      </c>
      <c r="E256" s="6">
        <f>IFERROR(((IPMT(Input!$E$55/12,B256,$C$6,Input!$E$54,-Input!$E$65,0)))," ")</f>
        <v>-1456.4130959030483</v>
      </c>
      <c r="F256" s="6">
        <f t="shared" si="39"/>
        <v>-1291098.2646183283</v>
      </c>
      <c r="G256" s="6">
        <f t="shared" si="38"/>
        <v>-1174792.600900325</v>
      </c>
      <c r="H256" s="6">
        <f t="shared" si="34"/>
        <v>-10317.5350021701</v>
      </c>
      <c r="I256" s="6">
        <f t="shared" si="35"/>
        <v>308901.73538167169</v>
      </c>
      <c r="J256" s="6" t="str">
        <f>IF(B256&lt;&gt;"",IF(AND(Input!$H$54="Annual",MOD(B256,12)=0),Input!$J$54,IF(AND(Input!$H$54="1st Installment",B256=1),Input!$J$54,IF(Input!$H$54="Monthly",Input!$J$54,""))),"")</f>
        <v/>
      </c>
      <c r="K256" s="6" t="str">
        <f>IF(B256&lt;&gt;"",IF(AND(Input!$H$55="Annual",MOD(B256,12)=0),Input!$J$55,IF(AND(Input!$H$55="1st Installment",B256=1),Input!$J$55,IF(Input!$H$55="Monthly",Input!$J$55,""))),"")</f>
        <v/>
      </c>
      <c r="L256" s="6">
        <f>IF(B256&lt;&gt;"",IF(AND(Input!$H$56="Annual",MOD(B256,12)=0),Input!$J$56,IF(AND(Input!$H$56="1st Installment",B256=1),Input!$J$56,IF(Input!$H$56="Monthly",Input!$J$56,""))),"")</f>
        <v>208.33333333333334</v>
      </c>
      <c r="M256" s="6" t="str">
        <f>IF(B256&lt;&gt;"",IF(AND(Input!$H$57="Annual",MOD(B256,12)=0),Input!$J$57,IF(AND(Input!$H$57="1st Installment",B256=1),Input!$J$57,IF(Input!$H$57="Monthly",Input!$J$57,""))),"")</f>
        <v/>
      </c>
      <c r="N256" s="6" t="str">
        <f>IF(B256&lt;&gt;"",IF(AND(Input!$H$58="Annual",MOD(B256,12)=0),Input!$J$58,IF(AND(Input!$H$58="1st Installment",B256=1),Input!$J$58,IF(Input!$H$58="Monthly",Input!$J$58,IF(AND(Input!$H$58="End of the loan",B256=Input!$E$58),Input!$J$58,"")))),"")</f>
        <v/>
      </c>
      <c r="O256" s="6">
        <f t="shared" si="30"/>
        <v>208.33333333333334</v>
      </c>
      <c r="P256" s="4">
        <f t="shared" si="31"/>
        <v>10525.868335503434</v>
      </c>
      <c r="T256" s="9">
        <f t="shared" si="32"/>
        <v>52565</v>
      </c>
      <c r="U256" s="5">
        <f t="shared" si="33"/>
        <v>10525.87</v>
      </c>
    </row>
    <row r="257" spans="2:21" x14ac:dyDescent="0.2">
      <c r="B257" s="181">
        <f t="shared" si="36"/>
        <v>240</v>
      </c>
      <c r="C257" s="162">
        <f t="shared" si="37"/>
        <v>52595</v>
      </c>
      <c r="D257" s="6">
        <f>IFERROR((PPMT(Input!$E$55/12,B257,$C$6,Input!$E$54,-Input!$E$65,0))," ")</f>
        <v>-8901.7353816707764</v>
      </c>
      <c r="E257" s="6">
        <f>IFERROR(((IPMT(Input!$E$55/12,B257,$C$6,Input!$E$54,-Input!$E$65,0)))," ")</f>
        <v>-1415.7996204993244</v>
      </c>
      <c r="F257" s="6">
        <f t="shared" si="39"/>
        <v>-1299999.9999999991</v>
      </c>
      <c r="G257" s="6">
        <f t="shared" si="38"/>
        <v>-1176208.4005208244</v>
      </c>
      <c r="H257" s="6">
        <f t="shared" si="34"/>
        <v>-310317.53500217013</v>
      </c>
      <c r="I257" s="6">
        <f t="shared" si="35"/>
        <v>300000.00000000093</v>
      </c>
      <c r="J257" s="6" t="str">
        <f>IF(B257&lt;&gt;"",IF(AND(Input!$H$54="Annual",MOD(B257,12)=0),Input!$J$54,IF(AND(Input!$H$54="1st Installment",B257=1),Input!$J$54,IF(Input!$H$54="Monthly",Input!$J$54,""))),"")</f>
        <v/>
      </c>
      <c r="K257" s="6">
        <f>IF(B257&lt;&gt;"",IF(AND(Input!$H$55="Annual",MOD(B257,12)=0),Input!$J$55,IF(AND(Input!$H$55="1st Installment",B257=1),Input!$J$55,IF(Input!$H$55="Monthly",Input!$J$55,""))),"")</f>
        <v>0</v>
      </c>
      <c r="L257" s="6">
        <f>IF(B257&lt;&gt;"",IF(AND(Input!$H$56="Annual",MOD(B257,12)=0),Input!$J$56,IF(AND(Input!$H$56="1st Installment",B257=1),Input!$J$56,IF(Input!$H$56="Monthly",Input!$J$56,""))),"")</f>
        <v>208.33333333333334</v>
      </c>
      <c r="M257" s="6" t="str">
        <f>IF(B257&lt;&gt;"",IF(AND(Input!$H$57="Annual",MOD(B257,12)=0),Input!$J$57,IF(AND(Input!$H$57="1st Installment",B257=1),Input!$J$57,IF(Input!$H$57="Monthly",Input!$J$57,""))),"")</f>
        <v/>
      </c>
      <c r="N257" s="6">
        <f>IF(B257&lt;&gt;"",IF(AND(Input!$H$58="Annual",MOD(B257,12)=0),Input!$J$58,IF(AND(Input!$H$58="1st Installment",B257=1),Input!$J$58,IF(Input!$H$58="Monthly",Input!$J$58,IF(AND(Input!$H$58="End of the loan",B257=Input!$E$58),Input!$J$58,"")))),"")</f>
        <v>0</v>
      </c>
      <c r="O257" s="6">
        <f t="shared" si="30"/>
        <v>208.33333333333334</v>
      </c>
      <c r="P257" s="4">
        <f t="shared" si="31"/>
        <v>310525.86833550344</v>
      </c>
      <c r="T257" s="9">
        <f t="shared" si="32"/>
        <v>52595</v>
      </c>
      <c r="U257" s="5">
        <f t="shared" si="33"/>
        <v>310525.87</v>
      </c>
    </row>
    <row r="258" spans="2:21" x14ac:dyDescent="0.2">
      <c r="B258" s="181" t="str">
        <f t="shared" si="36"/>
        <v/>
      </c>
      <c r="C258" s="162" t="str">
        <f t="shared" si="37"/>
        <v/>
      </c>
      <c r="D258" s="6" t="str">
        <f>IFERROR((PPMT(Input!$E$55/12,B258,$C$6,Input!$E$54,-Input!$E$65,0))," ")</f>
        <v xml:space="preserve"> </v>
      </c>
      <c r="E258" s="6" t="str">
        <f>IFERROR(((IPMT(Input!$E$55/12,B258,$C$6,Input!$E$54,-Input!$E$65,0)))," ")</f>
        <v xml:space="preserve"> </v>
      </c>
      <c r="F258" s="6" t="str">
        <f t="shared" si="39"/>
        <v/>
      </c>
      <c r="G258" s="6" t="str">
        <f t="shared" si="38"/>
        <v/>
      </c>
      <c r="H258" s="6" t="str">
        <f t="shared" si="34"/>
        <v/>
      </c>
      <c r="I258" s="6" t="str">
        <f t="shared" si="35"/>
        <v/>
      </c>
      <c r="J258" s="6" t="str">
        <f>IF(B258&lt;&gt;"",IF(AND(Input!$H$54="Annual",MOD(B258,12)=0),Input!$J$54,IF(AND(Input!$H$54="1st Installment",B258=1),Input!$J$54,IF(Input!$H$54="Monthly",Input!$J$54,""))),"")</f>
        <v/>
      </c>
      <c r="K258" s="6" t="str">
        <f>IF(B258&lt;&gt;"",IF(AND(Input!$H$55="Annual",MOD(B258,12)=0),Input!$J$55,IF(AND(Input!$H$55="1st Installment",B258=1),Input!$J$55,IF(Input!$H$55="Monthly",Input!$J$55,""))),"")</f>
        <v/>
      </c>
      <c r="L258" s="6" t="str">
        <f>IF(B258&lt;&gt;"",IF(AND(Input!$H$56="Annual",MOD(B258,12)=0),Input!$J$56,IF(AND(Input!$H$56="1st Installment",B258=1),Input!$J$56,IF(Input!$H$56="Monthly",Input!$J$56,""))),"")</f>
        <v/>
      </c>
      <c r="M258" s="6" t="str">
        <f>IF(B258&lt;&gt;"",IF(AND(Input!$H$57="Annual",MOD(B258,12)=0),Input!$J$57,IF(AND(Input!$H$57="1st Installment",B258=1),Input!$J$57,IF(Input!$H$57="Monthly",Input!$J$57,""))),"")</f>
        <v/>
      </c>
      <c r="N258" s="6" t="str">
        <f>IF(B258&lt;&gt;"",IF(AND(Input!$H$58="Annual",MOD(B258,12)=0),Input!$J$58,IF(AND(Input!$H$58="1st Installment",B258=1),Input!$J$58,IF(Input!$H$58="Monthly",Input!$J$58,IF(AND(Input!$H$58="End of the loan",B258=Input!$E$58),Input!$J$58,"")))),"")</f>
        <v/>
      </c>
      <c r="O258" s="6" t="str">
        <f t="shared" si="30"/>
        <v/>
      </c>
      <c r="P258" s="4" t="str">
        <f t="shared" si="31"/>
        <v/>
      </c>
      <c r="T258" s="9" t="str">
        <f t="shared" si="32"/>
        <v/>
      </c>
      <c r="U258" s="5" t="str">
        <f t="shared" si="33"/>
        <v xml:space="preserve"> </v>
      </c>
    </row>
    <row r="259" spans="2:21" x14ac:dyDescent="0.2">
      <c r="B259" s="181" t="str">
        <f t="shared" si="36"/>
        <v/>
      </c>
      <c r="C259" s="162" t="str">
        <f t="shared" si="37"/>
        <v/>
      </c>
      <c r="D259" s="6" t="str">
        <f>IFERROR((PPMT(Input!$E$55/12,B259,$C$6,Input!$E$54,-Input!$E$65,0))," ")</f>
        <v xml:space="preserve"> </v>
      </c>
      <c r="E259" s="6" t="str">
        <f>IFERROR(((IPMT(Input!$E$55/12,B259,$C$6,Input!$E$54,-Input!$E$65,0)))," ")</f>
        <v xml:space="preserve"> </v>
      </c>
      <c r="F259" s="6" t="str">
        <f t="shared" si="39"/>
        <v/>
      </c>
      <c r="G259" s="6" t="str">
        <f t="shared" si="38"/>
        <v/>
      </c>
      <c r="H259" s="6" t="str">
        <f t="shared" si="34"/>
        <v/>
      </c>
      <c r="I259" s="6" t="str">
        <f t="shared" si="35"/>
        <v/>
      </c>
      <c r="J259" s="6" t="str">
        <f>IF(B259&lt;&gt;"",IF(AND(Input!$H$54="Annual",MOD(B259,12)=0),Input!$J$54,IF(AND(Input!$H$54="1st Installment",B259=1),Input!$J$54,IF(Input!$H$54="Monthly",Input!$J$54,""))),"")</f>
        <v/>
      </c>
      <c r="K259" s="6" t="str">
        <f>IF(B259&lt;&gt;"",IF(AND(Input!$H$55="Annual",MOD(B259,12)=0),Input!$J$55,IF(AND(Input!$H$55="1st Installment",B259=1),Input!$J$55,IF(Input!$H$55="Monthly",Input!$J$55,""))),"")</f>
        <v/>
      </c>
      <c r="L259" s="6" t="str">
        <f>IF(B259&lt;&gt;"",IF(AND(Input!$H$56="Annual",MOD(B259,12)=0),Input!$J$56,IF(AND(Input!$H$56="1st Installment",B259=1),Input!$J$56,IF(Input!$H$56="Monthly",Input!$J$56,""))),"")</f>
        <v/>
      </c>
      <c r="M259" s="6" t="str">
        <f>IF(B259&lt;&gt;"",IF(AND(Input!$H$57="Annual",MOD(B259,12)=0),Input!$J$57,IF(AND(Input!$H$57="1st Installment",B259=1),Input!$J$57,IF(Input!$H$57="Monthly",Input!$J$57,""))),"")</f>
        <v/>
      </c>
      <c r="N259" s="6" t="str">
        <f>IF(B259&lt;&gt;"",IF(AND(Input!$H$58="Annual",MOD(B259,12)=0),Input!$J$58,IF(AND(Input!$H$58="1st Installment",B259=1),Input!$J$58,IF(Input!$H$58="Monthly",Input!$J$58,IF(AND(Input!$H$58="End of the loan",B259=Input!$E$58),Input!$J$58,"")))),"")</f>
        <v/>
      </c>
      <c r="O259" s="6" t="str">
        <f t="shared" si="30"/>
        <v/>
      </c>
      <c r="P259" s="4" t="str">
        <f t="shared" si="31"/>
        <v/>
      </c>
      <c r="T259" s="9" t="str">
        <f t="shared" si="32"/>
        <v/>
      </c>
      <c r="U259" s="5" t="str">
        <f t="shared" si="33"/>
        <v xml:space="preserve"> </v>
      </c>
    </row>
    <row r="260" spans="2:21" x14ac:dyDescent="0.2">
      <c r="B260" s="181" t="str">
        <f t="shared" si="36"/>
        <v/>
      </c>
      <c r="C260" s="162" t="str">
        <f t="shared" si="37"/>
        <v/>
      </c>
      <c r="D260" s="6" t="str">
        <f>IFERROR((PPMT(Input!$E$55/12,B260,$C$6,Input!$E$54,-Input!$E$65,0))," ")</f>
        <v xml:space="preserve"> </v>
      </c>
      <c r="E260" s="6" t="str">
        <f>IFERROR(((IPMT(Input!$E$55/12,B260,$C$6,Input!$E$54,-Input!$E$65,0)))," ")</f>
        <v xml:space="preserve"> </v>
      </c>
      <c r="F260" s="6" t="str">
        <f t="shared" si="39"/>
        <v/>
      </c>
      <c r="G260" s="6" t="str">
        <f t="shared" si="38"/>
        <v/>
      </c>
      <c r="H260" s="6" t="str">
        <f t="shared" si="34"/>
        <v/>
      </c>
      <c r="I260" s="6" t="str">
        <f t="shared" si="35"/>
        <v/>
      </c>
      <c r="J260" s="6" t="str">
        <f>IF(B260&lt;&gt;"",IF(AND(Input!$H$54="Annual",MOD(B260,12)=0),Input!$J$54,IF(AND(Input!$H$54="1st Installment",B260=1),Input!$J$54,IF(Input!$H$54="Monthly",Input!$J$54,""))),"")</f>
        <v/>
      </c>
      <c r="K260" s="6" t="str">
        <f>IF(B260&lt;&gt;"",IF(AND(Input!$H$55="Annual",MOD(B260,12)=0),Input!$J$55,IF(AND(Input!$H$55="1st Installment",B260=1),Input!$J$55,IF(Input!$H$55="Monthly",Input!$J$55,""))),"")</f>
        <v/>
      </c>
      <c r="L260" s="6" t="str">
        <f>IF(B260&lt;&gt;"",IF(AND(Input!$H$56="Annual",MOD(B260,12)=0),Input!$J$56,IF(AND(Input!$H$56="1st Installment",B260=1),Input!$J$56,IF(Input!$H$56="Monthly",Input!$J$56,""))),"")</f>
        <v/>
      </c>
      <c r="M260" s="6" t="str">
        <f>IF(B260&lt;&gt;"",IF(AND(Input!$H$57="Annual",MOD(B260,12)=0),Input!$J$57,IF(AND(Input!$H$57="1st Installment",B260=1),Input!$J$57,IF(Input!$H$57="Monthly",Input!$J$57,""))),"")</f>
        <v/>
      </c>
      <c r="N260" s="6" t="str">
        <f>IF(B260&lt;&gt;"",IF(AND(Input!$H$58="Annual",MOD(B260,12)=0),Input!$J$58,IF(AND(Input!$H$58="1st Installment",B260=1),Input!$J$58,IF(Input!$H$58="Monthly",Input!$J$58,IF(AND(Input!$H$58="End of the loan",B260=Input!$E$58),Input!$J$58,"")))),"")</f>
        <v/>
      </c>
      <c r="O260" s="6" t="str">
        <f t="shared" si="30"/>
        <v/>
      </c>
      <c r="P260" s="4" t="str">
        <f t="shared" si="31"/>
        <v/>
      </c>
      <c r="T260" s="9" t="str">
        <f t="shared" si="32"/>
        <v/>
      </c>
      <c r="U260" s="5" t="str">
        <f t="shared" si="33"/>
        <v xml:space="preserve"> </v>
      </c>
    </row>
    <row r="261" spans="2:21" x14ac:dyDescent="0.2">
      <c r="B261" s="181" t="str">
        <f t="shared" si="36"/>
        <v/>
      </c>
      <c r="C261" s="162" t="str">
        <f t="shared" si="37"/>
        <v/>
      </c>
      <c r="D261" s="6" t="str">
        <f>IFERROR((PPMT(Input!$E$55/12,B261,$C$6,Input!$E$54,-Input!$E$65,0))," ")</f>
        <v xml:space="preserve"> </v>
      </c>
      <c r="E261" s="6" t="str">
        <f>IFERROR(((IPMT(Input!$E$55/12,B261,$C$6,Input!$E$54,-Input!$E$65,0)))," ")</f>
        <v xml:space="preserve"> </v>
      </c>
      <c r="F261" s="6" t="str">
        <f t="shared" si="39"/>
        <v/>
      </c>
      <c r="G261" s="6" t="str">
        <f t="shared" si="38"/>
        <v/>
      </c>
      <c r="H261" s="6" t="str">
        <f t="shared" si="34"/>
        <v/>
      </c>
      <c r="I261" s="6" t="str">
        <f t="shared" si="35"/>
        <v/>
      </c>
      <c r="J261" s="6" t="str">
        <f>IF(B261&lt;&gt;"",IF(AND(Input!$H$54="Annual",MOD(B261,12)=0),Input!$J$54,IF(AND(Input!$H$54="1st Installment",B261=1),Input!$J$54,IF(Input!$H$54="Monthly",Input!$J$54,""))),"")</f>
        <v/>
      </c>
      <c r="K261" s="6" t="str">
        <f>IF(B261&lt;&gt;"",IF(AND(Input!$H$55="Annual",MOD(B261,12)=0),Input!$J$55,IF(AND(Input!$H$55="1st Installment",B261=1),Input!$J$55,IF(Input!$H$55="Monthly",Input!$J$55,""))),"")</f>
        <v/>
      </c>
      <c r="L261" s="6" t="str">
        <f>IF(B261&lt;&gt;"",IF(AND(Input!$H$56="Annual",MOD(B261,12)=0),Input!$J$56,IF(AND(Input!$H$56="1st Installment",B261=1),Input!$J$56,IF(Input!$H$56="Monthly",Input!$J$56,""))),"")</f>
        <v/>
      </c>
      <c r="M261" s="6" t="str">
        <f>IF(B261&lt;&gt;"",IF(AND(Input!$H$57="Annual",MOD(B261,12)=0),Input!$J$57,IF(AND(Input!$H$57="1st Installment",B261=1),Input!$J$57,IF(Input!$H$57="Monthly",Input!$J$57,""))),"")</f>
        <v/>
      </c>
      <c r="N261" s="6" t="str">
        <f>IF(B261&lt;&gt;"",IF(AND(Input!$H$58="Annual",MOD(B261,12)=0),Input!$J$58,IF(AND(Input!$H$58="1st Installment",B261=1),Input!$J$58,IF(Input!$H$58="Monthly",Input!$J$58,IF(AND(Input!$H$58="End of the loan",B261=Input!$E$58),Input!$J$58,"")))),"")</f>
        <v/>
      </c>
      <c r="O261" s="6" t="str">
        <f t="shared" si="30"/>
        <v/>
      </c>
      <c r="P261" s="4" t="str">
        <f t="shared" si="31"/>
        <v/>
      </c>
      <c r="T261" s="9" t="str">
        <f t="shared" si="32"/>
        <v/>
      </c>
      <c r="U261" s="5" t="str">
        <f t="shared" si="33"/>
        <v xml:space="preserve"> </v>
      </c>
    </row>
    <row r="262" spans="2:21" x14ac:dyDescent="0.2">
      <c r="B262" s="181" t="str">
        <f t="shared" si="36"/>
        <v/>
      </c>
      <c r="C262" s="162" t="str">
        <f t="shared" si="37"/>
        <v/>
      </c>
      <c r="D262" s="6" t="str">
        <f>IFERROR((PPMT(Input!$E$55/12,B262,$C$6,Input!$E$54,-Input!$E$65,0))," ")</f>
        <v xml:space="preserve"> </v>
      </c>
      <c r="E262" s="6" t="str">
        <f>IFERROR(((IPMT(Input!$E$55/12,B262,$C$6,Input!$E$54,-Input!$E$65,0)))," ")</f>
        <v xml:space="preserve"> </v>
      </c>
      <c r="F262" s="6" t="str">
        <f t="shared" si="39"/>
        <v/>
      </c>
      <c r="G262" s="6" t="str">
        <f t="shared" si="38"/>
        <v/>
      </c>
      <c r="H262" s="6" t="str">
        <f t="shared" si="34"/>
        <v/>
      </c>
      <c r="I262" s="6" t="str">
        <f t="shared" si="35"/>
        <v/>
      </c>
      <c r="J262" s="6" t="str">
        <f>IF(B262&lt;&gt;"",IF(AND(Input!$H$54="Annual",MOD(B262,12)=0),Input!$J$54,IF(AND(Input!$H$54="1st Installment",B262=1),Input!$J$54,IF(Input!$H$54="Monthly",Input!$J$54,""))),"")</f>
        <v/>
      </c>
      <c r="K262" s="6" t="str">
        <f>IF(B262&lt;&gt;"",IF(AND(Input!$H$55="Annual",MOD(B262,12)=0),Input!$J$55,IF(AND(Input!$H$55="1st Installment",B262=1),Input!$J$55,IF(Input!$H$55="Monthly",Input!$J$55,""))),"")</f>
        <v/>
      </c>
      <c r="L262" s="6" t="str">
        <f>IF(B262&lt;&gt;"",IF(AND(Input!$H$56="Annual",MOD(B262,12)=0),Input!$J$56,IF(AND(Input!$H$56="1st Installment",B262=1),Input!$J$56,IF(Input!$H$56="Monthly",Input!$J$56,""))),"")</f>
        <v/>
      </c>
      <c r="M262" s="6" t="str">
        <f>IF(B262&lt;&gt;"",IF(AND(Input!$H$57="Annual",MOD(B262,12)=0),Input!$J$57,IF(AND(Input!$H$57="1st Installment",B262=1),Input!$J$57,IF(Input!$H$57="Monthly",Input!$J$57,""))),"")</f>
        <v/>
      </c>
      <c r="N262" s="6" t="str">
        <f>IF(B262&lt;&gt;"",IF(AND(Input!$H$58="Annual",MOD(B262,12)=0),Input!$J$58,IF(AND(Input!$H$58="1st Installment",B262=1),Input!$J$58,IF(Input!$H$58="Monthly",Input!$J$58,IF(AND(Input!$H$58="End of the loan",B262=Input!$E$58),Input!$J$58,"")))),"")</f>
        <v/>
      </c>
      <c r="O262" s="6" t="str">
        <f t="shared" si="30"/>
        <v/>
      </c>
      <c r="P262" s="4" t="str">
        <f t="shared" si="31"/>
        <v/>
      </c>
      <c r="T262" s="9" t="str">
        <f t="shared" si="32"/>
        <v/>
      </c>
      <c r="U262" s="5" t="str">
        <f t="shared" si="33"/>
        <v xml:space="preserve"> </v>
      </c>
    </row>
    <row r="263" spans="2:21" x14ac:dyDescent="0.2">
      <c r="B263" s="181" t="str">
        <f t="shared" si="36"/>
        <v/>
      </c>
      <c r="C263" s="162" t="str">
        <f t="shared" si="37"/>
        <v/>
      </c>
      <c r="D263" s="6" t="str">
        <f>IFERROR((PPMT(Input!$E$55/12,B263,$C$6,Input!$E$54,-Input!$E$65,0))," ")</f>
        <v xml:space="preserve"> </v>
      </c>
      <c r="E263" s="6" t="str">
        <f>IFERROR(((IPMT(Input!$E$55/12,B263,$C$6,Input!$E$54,-Input!$E$65,0)))," ")</f>
        <v xml:space="preserve"> </v>
      </c>
      <c r="F263" s="6" t="str">
        <f t="shared" si="39"/>
        <v/>
      </c>
      <c r="G263" s="6" t="str">
        <f t="shared" si="38"/>
        <v/>
      </c>
      <c r="H263" s="6" t="str">
        <f t="shared" si="34"/>
        <v/>
      </c>
      <c r="I263" s="6" t="str">
        <f t="shared" si="35"/>
        <v/>
      </c>
      <c r="J263" s="6" t="str">
        <f>IF(B263&lt;&gt;"",IF(AND(Input!$H$54="Annual",MOD(B263,12)=0),Input!$J$54,IF(AND(Input!$H$54="1st Installment",B263=1),Input!$J$54,IF(Input!$H$54="Monthly",Input!$J$54,""))),"")</f>
        <v/>
      </c>
      <c r="K263" s="6" t="str">
        <f>IF(B263&lt;&gt;"",IF(AND(Input!$H$55="Annual",MOD(B263,12)=0),Input!$J$55,IF(AND(Input!$H$55="1st Installment",B263=1),Input!$J$55,IF(Input!$H$55="Monthly",Input!$J$55,""))),"")</f>
        <v/>
      </c>
      <c r="L263" s="6" t="str">
        <f>IF(B263&lt;&gt;"",IF(AND(Input!$H$56="Annual",MOD(B263,12)=0),Input!$J$56,IF(AND(Input!$H$56="1st Installment",B263=1),Input!$J$56,IF(Input!$H$56="Monthly",Input!$J$56,""))),"")</f>
        <v/>
      </c>
      <c r="M263" s="6" t="str">
        <f>IF(B263&lt;&gt;"",IF(AND(Input!$H$57="Annual",MOD(B263,12)=0),Input!$J$57,IF(AND(Input!$H$57="1st Installment",B263=1),Input!$J$57,IF(Input!$H$57="Monthly",Input!$J$57,""))),"")</f>
        <v/>
      </c>
      <c r="N263" s="6" t="str">
        <f>IF(B263&lt;&gt;"",IF(AND(Input!$H$58="Annual",MOD(B263,12)=0),Input!$J$58,IF(AND(Input!$H$58="1st Installment",B263=1),Input!$J$58,IF(Input!$H$58="Monthly",Input!$J$58,IF(AND(Input!$H$58="End of the loan",B263=Input!$E$58),Input!$J$58,"")))),"")</f>
        <v/>
      </c>
      <c r="O263" s="6" t="str">
        <f t="shared" si="30"/>
        <v/>
      </c>
      <c r="P263" s="4" t="str">
        <f t="shared" si="31"/>
        <v/>
      </c>
      <c r="T263" s="9" t="str">
        <f t="shared" si="32"/>
        <v/>
      </c>
      <c r="U263" s="5" t="str">
        <f t="shared" si="33"/>
        <v xml:space="preserve"> </v>
      </c>
    </row>
    <row r="264" spans="2:21" x14ac:dyDescent="0.2">
      <c r="B264" s="181" t="str">
        <f t="shared" si="36"/>
        <v/>
      </c>
      <c r="C264" s="162" t="str">
        <f t="shared" si="37"/>
        <v/>
      </c>
      <c r="D264" s="6" t="str">
        <f>IFERROR((PPMT(Input!$E$55/12,B264,$C$6,Input!$E$54,-Input!$E$65,0))," ")</f>
        <v xml:space="preserve"> </v>
      </c>
      <c r="E264" s="6" t="str">
        <f>IFERROR(((IPMT(Input!$E$55/12,B264,$C$6,Input!$E$54,-Input!$E$65,0)))," ")</f>
        <v xml:space="preserve"> </v>
      </c>
      <c r="F264" s="6" t="str">
        <f t="shared" si="39"/>
        <v/>
      </c>
      <c r="G264" s="6" t="str">
        <f t="shared" si="38"/>
        <v/>
      </c>
      <c r="H264" s="6" t="str">
        <f t="shared" si="34"/>
        <v/>
      </c>
      <c r="I264" s="6" t="str">
        <f t="shared" si="35"/>
        <v/>
      </c>
      <c r="J264" s="6" t="str">
        <f>IF(B264&lt;&gt;"",IF(AND(Input!$H$54="Annual",MOD(B264,12)=0),Input!$J$54,IF(AND(Input!$H$54="1st Installment",B264=1),Input!$J$54,IF(Input!$H$54="Monthly",Input!$J$54,""))),"")</f>
        <v/>
      </c>
      <c r="K264" s="6" t="str">
        <f>IF(B264&lt;&gt;"",IF(AND(Input!$H$55="Annual",MOD(B264,12)=0),Input!$J$55,IF(AND(Input!$H$55="1st Installment",B264=1),Input!$J$55,IF(Input!$H$55="Monthly",Input!$J$55,""))),"")</f>
        <v/>
      </c>
      <c r="L264" s="6" t="str">
        <f>IF(B264&lt;&gt;"",IF(AND(Input!$H$56="Annual",MOD(B264,12)=0),Input!$J$56,IF(AND(Input!$H$56="1st Installment",B264=1),Input!$J$56,IF(Input!$H$56="Monthly",Input!$J$56,""))),"")</f>
        <v/>
      </c>
      <c r="M264" s="6" t="str">
        <f>IF(B264&lt;&gt;"",IF(AND(Input!$H$57="Annual",MOD(B264,12)=0),Input!$J$57,IF(AND(Input!$H$57="1st Installment",B264=1),Input!$J$57,IF(Input!$H$57="Monthly",Input!$J$57,""))),"")</f>
        <v/>
      </c>
      <c r="N264" s="6" t="str">
        <f>IF(B264&lt;&gt;"",IF(AND(Input!$H$58="Annual",MOD(B264,12)=0),Input!$J$58,IF(AND(Input!$H$58="1st Installment",B264=1),Input!$J$58,IF(Input!$H$58="Monthly",Input!$J$58,IF(AND(Input!$H$58="End of the loan",B264=Input!$E$58),Input!$J$58,"")))),"")</f>
        <v/>
      </c>
      <c r="O264" s="6" t="str">
        <f t="shared" si="30"/>
        <v/>
      </c>
      <c r="P264" s="4" t="str">
        <f t="shared" si="31"/>
        <v/>
      </c>
      <c r="T264" s="9" t="str">
        <f t="shared" si="32"/>
        <v/>
      </c>
      <c r="U264" s="5" t="str">
        <f t="shared" si="33"/>
        <v xml:space="preserve"> </v>
      </c>
    </row>
    <row r="265" spans="2:21" x14ac:dyDescent="0.2">
      <c r="B265" s="181" t="str">
        <f t="shared" si="36"/>
        <v/>
      </c>
      <c r="C265" s="162" t="str">
        <f t="shared" si="37"/>
        <v/>
      </c>
      <c r="D265" s="6" t="str">
        <f>IFERROR((PPMT(Input!$E$55/12,B265,$C$6,Input!$E$54,-Input!$E$65,0))," ")</f>
        <v xml:space="preserve"> </v>
      </c>
      <c r="E265" s="6" t="str">
        <f>IFERROR(((IPMT(Input!$E$55/12,B265,$C$6,Input!$E$54,-Input!$E$65,0)))," ")</f>
        <v xml:space="preserve"> </v>
      </c>
      <c r="F265" s="6" t="str">
        <f t="shared" si="39"/>
        <v/>
      </c>
      <c r="G265" s="6" t="str">
        <f t="shared" si="38"/>
        <v/>
      </c>
      <c r="H265" s="6" t="str">
        <f t="shared" si="34"/>
        <v/>
      </c>
      <c r="I265" s="6" t="str">
        <f t="shared" si="35"/>
        <v/>
      </c>
      <c r="J265" s="6" t="str">
        <f>IF(B265&lt;&gt;"",IF(AND(Input!$H$54="Annual",MOD(B265,12)=0),Input!$J$54,IF(AND(Input!$H$54="1st Installment",B265=1),Input!$J$54,IF(Input!$H$54="Monthly",Input!$J$54,""))),"")</f>
        <v/>
      </c>
      <c r="K265" s="6" t="str">
        <f>IF(B265&lt;&gt;"",IF(AND(Input!$H$55="Annual",MOD(B265,12)=0),Input!$J$55,IF(AND(Input!$H$55="1st Installment",B265=1),Input!$J$55,IF(Input!$H$55="Monthly",Input!$J$55,""))),"")</f>
        <v/>
      </c>
      <c r="L265" s="6" t="str">
        <f>IF(B265&lt;&gt;"",IF(AND(Input!$H$56="Annual",MOD(B265,12)=0),Input!$J$56,IF(AND(Input!$H$56="1st Installment",B265=1),Input!$J$56,IF(Input!$H$56="Monthly",Input!$J$56,""))),"")</f>
        <v/>
      </c>
      <c r="M265" s="6" t="str">
        <f>IF(B265&lt;&gt;"",IF(AND(Input!$H$57="Annual",MOD(B265,12)=0),Input!$J$57,IF(AND(Input!$H$57="1st Installment",B265=1),Input!$J$57,IF(Input!$H$57="Monthly",Input!$J$57,""))),"")</f>
        <v/>
      </c>
      <c r="N265" s="6" t="str">
        <f>IF(B265&lt;&gt;"",IF(AND(Input!$H$58="Annual",MOD(B265,12)=0),Input!$J$58,IF(AND(Input!$H$58="1st Installment",B265=1),Input!$J$58,IF(Input!$H$58="Monthly",Input!$J$58,IF(AND(Input!$H$58="End of the loan",B265=Input!$E$58),Input!$J$58,"")))),"")</f>
        <v/>
      </c>
      <c r="O265" s="6" t="str">
        <f t="shared" si="30"/>
        <v/>
      </c>
      <c r="P265" s="4" t="str">
        <f t="shared" si="31"/>
        <v/>
      </c>
      <c r="T265" s="9" t="str">
        <f t="shared" si="32"/>
        <v/>
      </c>
      <c r="U265" s="5" t="str">
        <f t="shared" si="33"/>
        <v xml:space="preserve"> </v>
      </c>
    </row>
    <row r="266" spans="2:21" x14ac:dyDescent="0.2">
      <c r="B266" s="181" t="str">
        <f t="shared" si="36"/>
        <v/>
      </c>
      <c r="C266" s="162" t="str">
        <f t="shared" si="37"/>
        <v/>
      </c>
      <c r="D266" s="6" t="str">
        <f>IFERROR((PPMT(Input!$E$55/12,B266,$C$6,Input!$E$54,-Input!$E$65,0))," ")</f>
        <v xml:space="preserve"> </v>
      </c>
      <c r="E266" s="6" t="str">
        <f>IFERROR(((IPMT(Input!$E$55/12,B266,$C$6,Input!$E$54,-Input!$E$65,0)))," ")</f>
        <v xml:space="preserve"> </v>
      </c>
      <c r="F266" s="6" t="str">
        <f t="shared" si="39"/>
        <v/>
      </c>
      <c r="G266" s="6" t="str">
        <f t="shared" si="38"/>
        <v/>
      </c>
      <c r="H266" s="6" t="str">
        <f t="shared" si="34"/>
        <v/>
      </c>
      <c r="I266" s="6" t="str">
        <f t="shared" si="35"/>
        <v/>
      </c>
      <c r="J266" s="6" t="str">
        <f>IF(B266&lt;&gt;"",IF(AND(Input!$H$54="Annual",MOD(B266,12)=0),Input!$J$54,IF(AND(Input!$H$54="1st Installment",B266=1),Input!$J$54,IF(Input!$H$54="Monthly",Input!$J$54,""))),"")</f>
        <v/>
      </c>
      <c r="K266" s="6" t="str">
        <f>IF(B266&lt;&gt;"",IF(AND(Input!$H$55="Annual",MOD(B266,12)=0),Input!$J$55,IF(AND(Input!$H$55="1st Installment",B266=1),Input!$J$55,IF(Input!$H$55="Monthly",Input!$J$55,""))),"")</f>
        <v/>
      </c>
      <c r="L266" s="6" t="str">
        <f>IF(B266&lt;&gt;"",IF(AND(Input!$H$56="Annual",MOD(B266,12)=0),Input!$J$56,IF(AND(Input!$H$56="1st Installment",B266=1),Input!$J$56,IF(Input!$H$56="Monthly",Input!$J$56,""))),"")</f>
        <v/>
      </c>
      <c r="M266" s="6" t="str">
        <f>IF(B266&lt;&gt;"",IF(AND(Input!$H$57="Annual",MOD(B266,12)=0),Input!$J$57,IF(AND(Input!$H$57="1st Installment",B266=1),Input!$J$57,IF(Input!$H$57="Monthly",Input!$J$57,""))),"")</f>
        <v/>
      </c>
      <c r="N266" s="6" t="str">
        <f>IF(B266&lt;&gt;"",IF(AND(Input!$H$58="Annual",MOD(B266,12)=0),Input!$J$58,IF(AND(Input!$H$58="1st Installment",B266=1),Input!$J$58,IF(Input!$H$58="Monthly",Input!$J$58,IF(AND(Input!$H$58="End of the loan",B266=Input!$E$58),Input!$J$58,"")))),"")</f>
        <v/>
      </c>
      <c r="O266" s="6" t="str">
        <f t="shared" si="30"/>
        <v/>
      </c>
      <c r="P266" s="4" t="str">
        <f t="shared" si="31"/>
        <v/>
      </c>
      <c r="T266" s="9" t="str">
        <f t="shared" si="32"/>
        <v/>
      </c>
      <c r="U266" s="5" t="str">
        <f t="shared" si="33"/>
        <v xml:space="preserve"> </v>
      </c>
    </row>
    <row r="267" spans="2:21" x14ac:dyDescent="0.2">
      <c r="B267" s="181" t="str">
        <f t="shared" si="36"/>
        <v/>
      </c>
      <c r="C267" s="162" t="str">
        <f t="shared" si="37"/>
        <v/>
      </c>
      <c r="D267" s="6" t="str">
        <f>IFERROR((PPMT(Input!$E$55/12,B267,$C$6,Input!$E$54,-Input!$E$65,0))," ")</f>
        <v xml:space="preserve"> </v>
      </c>
      <c r="E267" s="6" t="str">
        <f>IFERROR(((IPMT(Input!$E$55/12,B267,$C$6,Input!$E$54,-Input!$E$65,0)))," ")</f>
        <v xml:space="preserve"> </v>
      </c>
      <c r="F267" s="6" t="str">
        <f t="shared" si="39"/>
        <v/>
      </c>
      <c r="G267" s="6" t="str">
        <f t="shared" si="38"/>
        <v/>
      </c>
      <c r="H267" s="6" t="str">
        <f t="shared" si="34"/>
        <v/>
      </c>
      <c r="I267" s="6" t="str">
        <f t="shared" si="35"/>
        <v/>
      </c>
      <c r="J267" s="6" t="str">
        <f>IF(B267&lt;&gt;"",IF(AND(Input!$H$54="Annual",MOD(B267,12)=0),Input!$J$54,IF(AND(Input!$H$54="1st Installment",B267=1),Input!$J$54,IF(Input!$H$54="Monthly",Input!$J$54,""))),"")</f>
        <v/>
      </c>
      <c r="K267" s="6" t="str">
        <f>IF(B267&lt;&gt;"",IF(AND(Input!$H$55="Annual",MOD(B267,12)=0),Input!$J$55,IF(AND(Input!$H$55="1st Installment",B267=1),Input!$J$55,IF(Input!$H$55="Monthly",Input!$J$55,""))),"")</f>
        <v/>
      </c>
      <c r="L267" s="6" t="str">
        <f>IF(B267&lt;&gt;"",IF(AND(Input!$H$56="Annual",MOD(B267,12)=0),Input!$J$56,IF(AND(Input!$H$56="1st Installment",B267=1),Input!$J$56,IF(Input!$H$56="Monthly",Input!$J$56,""))),"")</f>
        <v/>
      </c>
      <c r="M267" s="6" t="str">
        <f>IF(B267&lt;&gt;"",IF(AND(Input!$H$57="Annual",MOD(B267,12)=0),Input!$J$57,IF(AND(Input!$H$57="1st Installment",B267=1),Input!$J$57,IF(Input!$H$57="Monthly",Input!$J$57,""))),"")</f>
        <v/>
      </c>
      <c r="N267" s="6" t="str">
        <f>IF(B267&lt;&gt;"",IF(AND(Input!$H$58="Annual",MOD(B267,12)=0),Input!$J$58,IF(AND(Input!$H$58="1st Installment",B267=1),Input!$J$58,IF(Input!$H$58="Monthly",Input!$J$58,IF(AND(Input!$H$58="End of the loan",B267=Input!$E$58),Input!$J$58,"")))),"")</f>
        <v/>
      </c>
      <c r="O267" s="6" t="str">
        <f t="shared" si="30"/>
        <v/>
      </c>
      <c r="P267" s="4" t="str">
        <f t="shared" si="31"/>
        <v/>
      </c>
      <c r="T267" s="9" t="str">
        <f t="shared" si="32"/>
        <v/>
      </c>
      <c r="U267" s="5" t="str">
        <f t="shared" si="33"/>
        <v xml:space="preserve"> </v>
      </c>
    </row>
    <row r="268" spans="2:21" x14ac:dyDescent="0.2">
      <c r="B268" s="181" t="str">
        <f t="shared" si="36"/>
        <v/>
      </c>
      <c r="C268" s="162" t="str">
        <f t="shared" si="37"/>
        <v/>
      </c>
      <c r="D268" s="6" t="str">
        <f>IFERROR((PPMT(Input!$E$55/12,B268,$C$6,Input!$E$54,-Input!$E$65,0))," ")</f>
        <v xml:space="preserve"> </v>
      </c>
      <c r="E268" s="6" t="str">
        <f>IFERROR(((IPMT(Input!$E$55/12,B268,$C$6,Input!$E$54,-Input!$E$65,0)))," ")</f>
        <v xml:space="preserve"> </v>
      </c>
      <c r="F268" s="6" t="str">
        <f t="shared" si="39"/>
        <v/>
      </c>
      <c r="G268" s="6" t="str">
        <f t="shared" si="38"/>
        <v/>
      </c>
      <c r="H268" s="6" t="str">
        <f t="shared" si="34"/>
        <v/>
      </c>
      <c r="I268" s="6" t="str">
        <f t="shared" si="35"/>
        <v/>
      </c>
      <c r="J268" s="6" t="str">
        <f>IF(B268&lt;&gt;"",IF(AND(Input!$H$54="Annual",MOD(B268,12)=0),Input!$J$54,IF(AND(Input!$H$54="1st Installment",B268=1),Input!$J$54,IF(Input!$H$54="Monthly",Input!$J$54,""))),"")</f>
        <v/>
      </c>
      <c r="K268" s="6" t="str">
        <f>IF(B268&lt;&gt;"",IF(AND(Input!$H$55="Annual",MOD(B268,12)=0),Input!$J$55,IF(AND(Input!$H$55="1st Installment",B268=1),Input!$J$55,IF(Input!$H$55="Monthly",Input!$J$55,""))),"")</f>
        <v/>
      </c>
      <c r="L268" s="6" t="str">
        <f>IF(B268&lt;&gt;"",IF(AND(Input!$H$56="Annual",MOD(B268,12)=0),Input!$J$56,IF(AND(Input!$H$56="1st Installment",B268=1),Input!$J$56,IF(Input!$H$56="Monthly",Input!$J$56,""))),"")</f>
        <v/>
      </c>
      <c r="M268" s="6" t="str">
        <f>IF(B268&lt;&gt;"",IF(AND(Input!$H$57="Annual",MOD(B268,12)=0),Input!$J$57,IF(AND(Input!$H$57="1st Installment",B268=1),Input!$J$57,IF(Input!$H$57="Monthly",Input!$J$57,""))),"")</f>
        <v/>
      </c>
      <c r="N268" s="6" t="str">
        <f>IF(B268&lt;&gt;"",IF(AND(Input!$H$58="Annual",MOD(B268,12)=0),Input!$J$58,IF(AND(Input!$H$58="1st Installment",B268=1),Input!$J$58,IF(Input!$H$58="Monthly",Input!$J$58,IF(AND(Input!$H$58="End of the loan",B268=Input!$E$58),Input!$J$58,"")))),"")</f>
        <v/>
      </c>
      <c r="O268" s="6" t="str">
        <f t="shared" si="30"/>
        <v/>
      </c>
      <c r="P268" s="4" t="str">
        <f t="shared" si="31"/>
        <v/>
      </c>
      <c r="T268" s="9" t="str">
        <f t="shared" si="32"/>
        <v/>
      </c>
      <c r="U268" s="5" t="str">
        <f t="shared" si="33"/>
        <v xml:space="preserve"> </v>
      </c>
    </row>
    <row r="269" spans="2:21" x14ac:dyDescent="0.2">
      <c r="B269" s="181" t="str">
        <f t="shared" si="36"/>
        <v/>
      </c>
      <c r="C269" s="162" t="str">
        <f t="shared" si="37"/>
        <v/>
      </c>
      <c r="D269" s="6" t="str">
        <f>IFERROR((PPMT(Input!$E$55/12,B269,$C$6,Input!$E$54,-Input!$E$65,0))," ")</f>
        <v xml:space="preserve"> </v>
      </c>
      <c r="E269" s="6" t="str">
        <f>IFERROR(((IPMT(Input!$E$55/12,B269,$C$6,Input!$E$54,-Input!$E$65,0)))," ")</f>
        <v xml:space="preserve"> </v>
      </c>
      <c r="F269" s="6" t="str">
        <f t="shared" si="39"/>
        <v/>
      </c>
      <c r="G269" s="6" t="str">
        <f t="shared" si="38"/>
        <v/>
      </c>
      <c r="H269" s="6" t="str">
        <f t="shared" si="34"/>
        <v/>
      </c>
      <c r="I269" s="6" t="str">
        <f t="shared" si="35"/>
        <v/>
      </c>
      <c r="J269" s="6" t="str">
        <f>IF(B269&lt;&gt;"",IF(AND(Input!$H$54="Annual",MOD(B269,12)=0),Input!$J$54,IF(AND(Input!$H$54="1st Installment",B269=1),Input!$J$54,IF(Input!$H$54="Monthly",Input!$J$54,""))),"")</f>
        <v/>
      </c>
      <c r="K269" s="6" t="str">
        <f>IF(B269&lt;&gt;"",IF(AND(Input!$H$55="Annual",MOD(B269,12)=0),Input!$J$55,IF(AND(Input!$H$55="1st Installment",B269=1),Input!$J$55,IF(Input!$H$55="Monthly",Input!$J$55,""))),"")</f>
        <v/>
      </c>
      <c r="L269" s="6" t="str">
        <f>IF(B269&lt;&gt;"",IF(AND(Input!$H$56="Annual",MOD(B269,12)=0),Input!$J$56,IF(AND(Input!$H$56="1st Installment",B269=1),Input!$J$56,IF(Input!$H$56="Monthly",Input!$J$56,""))),"")</f>
        <v/>
      </c>
      <c r="M269" s="6" t="str">
        <f>IF(B269&lt;&gt;"",IF(AND(Input!$H$57="Annual",MOD(B269,12)=0),Input!$J$57,IF(AND(Input!$H$57="1st Installment",B269=1),Input!$J$57,IF(Input!$H$57="Monthly",Input!$J$57,""))),"")</f>
        <v/>
      </c>
      <c r="N269" s="6" t="str">
        <f>IF(B269&lt;&gt;"",IF(AND(Input!$H$58="Annual",MOD(B269,12)=0),Input!$J$58,IF(AND(Input!$H$58="1st Installment",B269=1),Input!$J$58,IF(Input!$H$58="Monthly",Input!$J$58,IF(AND(Input!$H$58="End of the loan",B269=Input!$E$58),Input!$J$58,"")))),"")</f>
        <v/>
      </c>
      <c r="O269" s="6" t="str">
        <f t="shared" si="30"/>
        <v/>
      </c>
      <c r="P269" s="4" t="str">
        <f t="shared" si="31"/>
        <v/>
      </c>
      <c r="T269" s="9" t="str">
        <f t="shared" si="32"/>
        <v/>
      </c>
      <c r="U269" s="5" t="str">
        <f t="shared" si="33"/>
        <v xml:space="preserve"> </v>
      </c>
    </row>
    <row r="270" spans="2:21" x14ac:dyDescent="0.2">
      <c r="B270" s="181" t="str">
        <f t="shared" si="36"/>
        <v/>
      </c>
      <c r="C270" s="162" t="str">
        <f t="shared" si="37"/>
        <v/>
      </c>
      <c r="D270" s="6" t="str">
        <f>IFERROR((PPMT(Input!$E$55/12,B270,$C$6,Input!$E$54,-Input!$E$65,0))," ")</f>
        <v xml:space="preserve"> </v>
      </c>
      <c r="E270" s="6" t="str">
        <f>IFERROR(((IPMT(Input!$E$55/12,B270,$C$6,Input!$E$54,-Input!$E$65,0)))," ")</f>
        <v xml:space="preserve"> </v>
      </c>
      <c r="F270" s="6" t="str">
        <f t="shared" si="39"/>
        <v/>
      </c>
      <c r="G270" s="6" t="str">
        <f t="shared" si="38"/>
        <v/>
      </c>
      <c r="H270" s="6" t="str">
        <f t="shared" si="34"/>
        <v/>
      </c>
      <c r="I270" s="6" t="str">
        <f t="shared" si="35"/>
        <v/>
      </c>
      <c r="J270" s="6" t="str">
        <f>IF(B270&lt;&gt;"",IF(AND(Input!$H$54="Annual",MOD(B270,12)=0),Input!$J$54,IF(AND(Input!$H$54="1st Installment",B270=1),Input!$J$54,IF(Input!$H$54="Monthly",Input!$J$54,""))),"")</f>
        <v/>
      </c>
      <c r="K270" s="6" t="str">
        <f>IF(B270&lt;&gt;"",IF(AND(Input!$H$55="Annual",MOD(B270,12)=0),Input!$J$55,IF(AND(Input!$H$55="1st Installment",B270=1),Input!$J$55,IF(Input!$H$55="Monthly",Input!$J$55,""))),"")</f>
        <v/>
      </c>
      <c r="L270" s="6" t="str">
        <f>IF(B270&lt;&gt;"",IF(AND(Input!$H$56="Annual",MOD(B270,12)=0),Input!$J$56,IF(AND(Input!$H$56="1st Installment",B270=1),Input!$J$56,IF(Input!$H$56="Monthly",Input!$J$56,""))),"")</f>
        <v/>
      </c>
      <c r="M270" s="6" t="str">
        <f>IF(B270&lt;&gt;"",IF(AND(Input!$H$57="Annual",MOD(B270,12)=0),Input!$J$57,IF(AND(Input!$H$57="1st Installment",B270=1),Input!$J$57,IF(Input!$H$57="Monthly",Input!$J$57,""))),"")</f>
        <v/>
      </c>
      <c r="N270" s="6" t="str">
        <f>IF(B270&lt;&gt;"",IF(AND(Input!$H$58="Annual",MOD(B270,12)=0),Input!$J$58,IF(AND(Input!$H$58="1st Installment",B270=1),Input!$J$58,IF(Input!$H$58="Monthly",Input!$J$58,IF(AND(Input!$H$58="End of the loan",B270=Input!$E$58),Input!$J$58,"")))),"")</f>
        <v/>
      </c>
      <c r="O270" s="6" t="str">
        <f t="shared" ref="O270:O317" si="40">IF(B270&lt;&gt;"",SUM(J270:N270),"")</f>
        <v/>
      </c>
      <c r="P270" s="4" t="str">
        <f t="shared" si="31"/>
        <v/>
      </c>
      <c r="T270" s="9" t="str">
        <f t="shared" si="32"/>
        <v/>
      </c>
      <c r="U270" s="5" t="str">
        <f t="shared" si="33"/>
        <v xml:space="preserve"> </v>
      </c>
    </row>
    <row r="271" spans="2:21" x14ac:dyDescent="0.2">
      <c r="B271" s="181" t="str">
        <f t="shared" si="36"/>
        <v/>
      </c>
      <c r="C271" s="162" t="str">
        <f t="shared" si="37"/>
        <v/>
      </c>
      <c r="D271" s="6" t="str">
        <f>IFERROR((PPMT(Input!$E$55/12,B271,$C$6,Input!$E$54,-Input!$E$65,0))," ")</f>
        <v xml:space="preserve"> </v>
      </c>
      <c r="E271" s="6" t="str">
        <f>IFERROR(((IPMT(Input!$E$55/12,B271,$C$6,Input!$E$54,-Input!$E$65,0)))," ")</f>
        <v xml:space="preserve"> </v>
      </c>
      <c r="F271" s="6" t="str">
        <f t="shared" si="39"/>
        <v/>
      </c>
      <c r="G271" s="6" t="str">
        <f t="shared" si="38"/>
        <v/>
      </c>
      <c r="H271" s="6" t="str">
        <f t="shared" si="34"/>
        <v/>
      </c>
      <c r="I271" s="6" t="str">
        <f t="shared" si="35"/>
        <v/>
      </c>
      <c r="J271" s="6" t="str">
        <f>IF(B271&lt;&gt;"",IF(AND(Input!$H$54="Annual",MOD(B271,12)=0),Input!$J$54,IF(AND(Input!$H$54="1st Installment",B271=1),Input!$J$54,IF(Input!$H$54="Monthly",Input!$J$54,""))),"")</f>
        <v/>
      </c>
      <c r="K271" s="6" t="str">
        <f>IF(B271&lt;&gt;"",IF(AND(Input!$H$55="Annual",MOD(B271,12)=0),Input!$J$55,IF(AND(Input!$H$55="1st Installment",B271=1),Input!$J$55,IF(Input!$H$55="Monthly",Input!$J$55,""))),"")</f>
        <v/>
      </c>
      <c r="L271" s="6" t="str">
        <f>IF(B271&lt;&gt;"",IF(AND(Input!$H$56="Annual",MOD(B271,12)=0),Input!$J$56,IF(AND(Input!$H$56="1st Installment",B271=1),Input!$J$56,IF(Input!$H$56="Monthly",Input!$J$56,""))),"")</f>
        <v/>
      </c>
      <c r="M271" s="6" t="str">
        <f>IF(B271&lt;&gt;"",IF(AND(Input!$H$57="Annual",MOD(B271,12)=0),Input!$J$57,IF(AND(Input!$H$57="1st Installment",B271=1),Input!$J$57,IF(Input!$H$57="Monthly",Input!$J$57,""))),"")</f>
        <v/>
      </c>
      <c r="N271" s="6" t="str">
        <f>IF(B271&lt;&gt;"",IF(AND(Input!$H$58="Annual",MOD(B271,12)=0),Input!$J$58,IF(AND(Input!$H$58="1st Installment",B271=1),Input!$J$58,IF(Input!$H$58="Monthly",Input!$J$58,IF(AND(Input!$H$58="End of the loan",B271=Input!$E$58),Input!$J$58,"")))),"")</f>
        <v/>
      </c>
      <c r="O271" s="6" t="str">
        <f t="shared" si="40"/>
        <v/>
      </c>
      <c r="P271" s="4" t="str">
        <f t="shared" si="31"/>
        <v/>
      </c>
      <c r="T271" s="9" t="str">
        <f t="shared" si="32"/>
        <v/>
      </c>
      <c r="U271" s="5" t="str">
        <f t="shared" si="33"/>
        <v xml:space="preserve"> </v>
      </c>
    </row>
    <row r="272" spans="2:21" x14ac:dyDescent="0.2">
      <c r="B272" s="181" t="str">
        <f t="shared" si="36"/>
        <v/>
      </c>
      <c r="C272" s="162" t="str">
        <f t="shared" si="37"/>
        <v/>
      </c>
      <c r="D272" s="6" t="str">
        <f>IFERROR((PPMT(Input!$E$55/12,B272,$C$6,Input!$E$54,-Input!$E$65,0))," ")</f>
        <v xml:space="preserve"> </v>
      </c>
      <c r="E272" s="6" t="str">
        <f>IFERROR(((IPMT(Input!$E$55/12,B272,$C$6,Input!$E$54,-Input!$E$65,0)))," ")</f>
        <v xml:space="preserve"> </v>
      </c>
      <c r="F272" s="6" t="str">
        <f t="shared" si="39"/>
        <v/>
      </c>
      <c r="G272" s="6" t="str">
        <f t="shared" si="38"/>
        <v/>
      </c>
      <c r="H272" s="6" t="str">
        <f t="shared" si="34"/>
        <v/>
      </c>
      <c r="I272" s="6" t="str">
        <f t="shared" si="35"/>
        <v/>
      </c>
      <c r="J272" s="6" t="str">
        <f>IF(B272&lt;&gt;"",IF(AND(Input!$H$54="Annual",MOD(B272,12)=0),Input!$J$54,IF(AND(Input!$H$54="1st Installment",B272=1),Input!$J$54,IF(Input!$H$54="Monthly",Input!$J$54,""))),"")</f>
        <v/>
      </c>
      <c r="K272" s="6" t="str">
        <f>IF(B272&lt;&gt;"",IF(AND(Input!$H$55="Annual",MOD(B272,12)=0),Input!$J$55,IF(AND(Input!$H$55="1st Installment",B272=1),Input!$J$55,IF(Input!$H$55="Monthly",Input!$J$55,""))),"")</f>
        <v/>
      </c>
      <c r="L272" s="6" t="str">
        <f>IF(B272&lt;&gt;"",IF(AND(Input!$H$56="Annual",MOD(B272,12)=0),Input!$J$56,IF(AND(Input!$H$56="1st Installment",B272=1),Input!$J$56,IF(Input!$H$56="Monthly",Input!$J$56,""))),"")</f>
        <v/>
      </c>
      <c r="M272" s="6" t="str">
        <f>IF(B272&lt;&gt;"",IF(AND(Input!$H$57="Annual",MOD(B272,12)=0),Input!$J$57,IF(AND(Input!$H$57="1st Installment",B272=1),Input!$J$57,IF(Input!$H$57="Monthly",Input!$J$57,""))),"")</f>
        <v/>
      </c>
      <c r="N272" s="6" t="str">
        <f>IF(B272&lt;&gt;"",IF(AND(Input!$H$58="Annual",MOD(B272,12)=0),Input!$J$58,IF(AND(Input!$H$58="1st Installment",B272=1),Input!$J$58,IF(Input!$H$58="Monthly",Input!$J$58,IF(AND(Input!$H$58="End of the loan",B272=Input!$E$58),Input!$J$58,"")))),"")</f>
        <v/>
      </c>
      <c r="O272" s="6" t="str">
        <f t="shared" si="40"/>
        <v/>
      </c>
      <c r="P272" s="4" t="str">
        <f t="shared" si="31"/>
        <v/>
      </c>
      <c r="T272" s="9" t="str">
        <f t="shared" si="32"/>
        <v/>
      </c>
      <c r="U272" s="5" t="str">
        <f t="shared" si="33"/>
        <v xml:space="preserve"> </v>
      </c>
    </row>
    <row r="273" spans="2:21" x14ac:dyDescent="0.2">
      <c r="B273" s="181" t="str">
        <f t="shared" si="36"/>
        <v/>
      </c>
      <c r="C273" s="162" t="str">
        <f t="shared" si="37"/>
        <v/>
      </c>
      <c r="D273" s="6" t="str">
        <f>IFERROR((PPMT(Input!$E$55/12,B273,$C$6,Input!$E$54,-Input!$E$65,0))," ")</f>
        <v xml:space="preserve"> </v>
      </c>
      <c r="E273" s="6" t="str">
        <f>IFERROR(((IPMT(Input!$E$55/12,B273,$C$6,Input!$E$54,-Input!$E$65,0)))," ")</f>
        <v xml:space="preserve"> </v>
      </c>
      <c r="F273" s="6" t="str">
        <f t="shared" si="39"/>
        <v/>
      </c>
      <c r="G273" s="6" t="str">
        <f t="shared" si="38"/>
        <v/>
      </c>
      <c r="H273" s="6" t="str">
        <f t="shared" si="34"/>
        <v/>
      </c>
      <c r="I273" s="6" t="str">
        <f t="shared" si="35"/>
        <v/>
      </c>
      <c r="J273" s="6" t="str">
        <f>IF(B273&lt;&gt;"",IF(AND(Input!$H$54="Annual",MOD(B273,12)=0),Input!$J$54,IF(AND(Input!$H$54="1st Installment",B273=1),Input!$J$54,IF(Input!$H$54="Monthly",Input!$J$54,""))),"")</f>
        <v/>
      </c>
      <c r="K273" s="6" t="str">
        <f>IF(B273&lt;&gt;"",IF(AND(Input!$H$55="Annual",MOD(B273,12)=0),Input!$J$55,IF(AND(Input!$H$55="1st Installment",B273=1),Input!$J$55,IF(Input!$H$55="Monthly",Input!$J$55,""))),"")</f>
        <v/>
      </c>
      <c r="L273" s="6" t="str">
        <f>IF(B273&lt;&gt;"",IF(AND(Input!$H$56="Annual",MOD(B273,12)=0),Input!$J$56,IF(AND(Input!$H$56="1st Installment",B273=1),Input!$J$56,IF(Input!$H$56="Monthly",Input!$J$56,""))),"")</f>
        <v/>
      </c>
      <c r="M273" s="6" t="str">
        <f>IF(B273&lt;&gt;"",IF(AND(Input!$H$57="Annual",MOD(B273,12)=0),Input!$J$57,IF(AND(Input!$H$57="1st Installment",B273=1),Input!$J$57,IF(Input!$H$57="Monthly",Input!$J$57,""))),"")</f>
        <v/>
      </c>
      <c r="N273" s="6" t="str">
        <f>IF(B273&lt;&gt;"",IF(AND(Input!$H$58="Annual",MOD(B273,12)=0),Input!$J$58,IF(AND(Input!$H$58="1st Installment",B273=1),Input!$J$58,IF(Input!$H$58="Monthly",Input!$J$58,IF(AND(Input!$H$58="End of the loan",B273=Input!$E$58),Input!$J$58,"")))),"")</f>
        <v/>
      </c>
      <c r="O273" s="6" t="str">
        <f t="shared" si="40"/>
        <v/>
      </c>
      <c r="P273" s="4" t="str">
        <f t="shared" ref="P273:P317" si="41">IF(B273&lt;&gt;"",(-H273+O273),"")</f>
        <v/>
      </c>
      <c r="T273" s="9" t="str">
        <f t="shared" si="32"/>
        <v/>
      </c>
      <c r="U273" s="5" t="str">
        <f t="shared" si="33"/>
        <v xml:space="preserve"> </v>
      </c>
    </row>
    <row r="274" spans="2:21" x14ac:dyDescent="0.2">
      <c r="B274" s="181" t="str">
        <f t="shared" si="36"/>
        <v/>
      </c>
      <c r="C274" s="162" t="str">
        <f t="shared" si="37"/>
        <v/>
      </c>
      <c r="D274" s="6" t="str">
        <f>IFERROR((PPMT(Input!$E$55/12,B274,$C$6,Input!$E$54,-Input!$E$65,0))," ")</f>
        <v xml:space="preserve"> </v>
      </c>
      <c r="E274" s="6" t="str">
        <f>IFERROR(((IPMT(Input!$E$55/12,B274,$C$6,Input!$E$54,-Input!$E$65,0)))," ")</f>
        <v xml:space="preserve"> </v>
      </c>
      <c r="F274" s="6" t="str">
        <f t="shared" si="39"/>
        <v/>
      </c>
      <c r="G274" s="6" t="str">
        <f t="shared" si="38"/>
        <v/>
      </c>
      <c r="H274" s="6" t="str">
        <f t="shared" si="34"/>
        <v/>
      </c>
      <c r="I274" s="6" t="str">
        <f t="shared" si="35"/>
        <v/>
      </c>
      <c r="J274" s="6" t="str">
        <f>IF(B274&lt;&gt;"",IF(AND(Input!$H$54="Annual",MOD(B274,12)=0),Input!$J$54,IF(AND(Input!$H$54="1st Installment",B274=1),Input!$J$54,IF(Input!$H$54="Monthly",Input!$J$54,""))),"")</f>
        <v/>
      </c>
      <c r="K274" s="6" t="str">
        <f>IF(B274&lt;&gt;"",IF(AND(Input!$H$55="Annual",MOD(B274,12)=0),Input!$J$55,IF(AND(Input!$H$55="1st Installment",B274=1),Input!$J$55,IF(Input!$H$55="Monthly",Input!$J$55,""))),"")</f>
        <v/>
      </c>
      <c r="L274" s="6" t="str">
        <f>IF(B274&lt;&gt;"",IF(AND(Input!$H$56="Annual",MOD(B274,12)=0),Input!$J$56,IF(AND(Input!$H$56="1st Installment",B274=1),Input!$J$56,IF(Input!$H$56="Monthly",Input!$J$56,""))),"")</f>
        <v/>
      </c>
      <c r="M274" s="6" t="str">
        <f>IF(B274&lt;&gt;"",IF(AND(Input!$H$57="Annual",MOD(B274,12)=0),Input!$J$57,IF(AND(Input!$H$57="1st Installment",B274=1),Input!$J$57,IF(Input!$H$57="Monthly",Input!$J$57,""))),"")</f>
        <v/>
      </c>
      <c r="N274" s="6" t="str">
        <f>IF(B274&lt;&gt;"",IF(AND(Input!$H$58="Annual",MOD(B274,12)=0),Input!$J$58,IF(AND(Input!$H$58="1st Installment",B274=1),Input!$J$58,IF(Input!$H$58="Monthly",Input!$J$58,IF(AND(Input!$H$58="End of the loan",B274=Input!$E$58),Input!$J$58,"")))),"")</f>
        <v/>
      </c>
      <c r="O274" s="6" t="str">
        <f t="shared" si="40"/>
        <v/>
      </c>
      <c r="P274" s="4" t="str">
        <f t="shared" si="41"/>
        <v/>
      </c>
      <c r="T274" s="9" t="str">
        <f t="shared" ref="T274:T317" si="42">C274</f>
        <v/>
      </c>
      <c r="U274" s="5" t="str">
        <f t="shared" ref="U274:U317" si="43">IFERROR(ROUND(_xlfn.IFNA(VLOOKUP(T274,$C$18:$P$385,14,0),0),2)," ")</f>
        <v xml:space="preserve"> </v>
      </c>
    </row>
    <row r="275" spans="2:21" x14ac:dyDescent="0.2">
      <c r="B275" s="181" t="str">
        <f t="shared" si="36"/>
        <v/>
      </c>
      <c r="C275" s="162" t="str">
        <f t="shared" si="37"/>
        <v/>
      </c>
      <c r="D275" s="6" t="str">
        <f>IFERROR((PPMT(Input!$E$55/12,B275,$C$6,Input!$E$54,-Input!$E$65,0))," ")</f>
        <v xml:space="preserve"> </v>
      </c>
      <c r="E275" s="6" t="str">
        <f>IFERROR(((IPMT(Input!$E$55/12,B275,$C$6,Input!$E$54,-Input!$E$65,0)))," ")</f>
        <v xml:space="preserve"> </v>
      </c>
      <c r="F275" s="6" t="str">
        <f t="shared" si="39"/>
        <v/>
      </c>
      <c r="G275" s="6" t="str">
        <f t="shared" si="38"/>
        <v/>
      </c>
      <c r="H275" s="6" t="str">
        <f t="shared" ref="H275:H316" si="44">+IF(B275=$C$6,(-$C$13+IFERROR(D275+E275,"")),IFERROR(D275+E275,""))</f>
        <v/>
      </c>
      <c r="I275" s="6" t="str">
        <f t="shared" ref="I275:I317" si="45">+IFERROR($C$8+F275,"")</f>
        <v/>
      </c>
      <c r="J275" s="6" t="str">
        <f>IF(B275&lt;&gt;"",IF(AND(Input!$H$54="Annual",MOD(B275,12)=0),Input!$J$54,IF(AND(Input!$H$54="1st Installment",B275=1),Input!$J$54,IF(Input!$H$54="Monthly",Input!$J$54,""))),"")</f>
        <v/>
      </c>
      <c r="K275" s="6" t="str">
        <f>IF(B275&lt;&gt;"",IF(AND(Input!$H$55="Annual",MOD(B275,12)=0),Input!$J$55,IF(AND(Input!$H$55="1st Installment",B275=1),Input!$J$55,IF(Input!$H$55="Monthly",Input!$J$55,""))),"")</f>
        <v/>
      </c>
      <c r="L275" s="6" t="str">
        <f>IF(B275&lt;&gt;"",IF(AND(Input!$H$56="Annual",MOD(B275,12)=0),Input!$J$56,IF(AND(Input!$H$56="1st Installment",B275=1),Input!$J$56,IF(Input!$H$56="Monthly",Input!$J$56,""))),"")</f>
        <v/>
      </c>
      <c r="M275" s="6" t="str">
        <f>IF(B275&lt;&gt;"",IF(AND(Input!$H$57="Annual",MOD(B275,12)=0),Input!$J$57,IF(AND(Input!$H$57="1st Installment",B275=1),Input!$J$57,IF(Input!$H$57="Monthly",Input!$J$57,""))),"")</f>
        <v/>
      </c>
      <c r="N275" s="6" t="str">
        <f>IF(B275&lt;&gt;"",IF(AND(Input!$H$58="Annual",MOD(B275,12)=0),Input!$J$58,IF(AND(Input!$H$58="1st Installment",B275=1),Input!$J$58,IF(Input!$H$58="Monthly",Input!$J$58,IF(AND(Input!$H$58="End of the loan",B275=Input!$E$58),Input!$J$58,"")))),"")</f>
        <v/>
      </c>
      <c r="O275" s="6" t="str">
        <f t="shared" si="40"/>
        <v/>
      </c>
      <c r="P275" s="4" t="str">
        <f t="shared" si="41"/>
        <v/>
      </c>
      <c r="T275" s="9" t="str">
        <f t="shared" si="42"/>
        <v/>
      </c>
      <c r="U275" s="5" t="str">
        <f t="shared" si="43"/>
        <v xml:space="preserve"> </v>
      </c>
    </row>
    <row r="276" spans="2:21" x14ac:dyDescent="0.2">
      <c r="B276" s="181" t="str">
        <f t="shared" ref="B276:B317" si="46">IF(B275="","",IF((B275+1)&lt;=$C$6,B275+1,""))</f>
        <v/>
      </c>
      <c r="C276" s="162" t="str">
        <f t="shared" ref="C276:C317" si="47">IF(B276="","",EDATE($C$18,(B276-1)))</f>
        <v/>
      </c>
      <c r="D276" s="6" t="str">
        <f>IFERROR((PPMT(Input!$E$55/12,B276,$C$6,Input!$E$54,-Input!$E$65,0))," ")</f>
        <v xml:space="preserve"> </v>
      </c>
      <c r="E276" s="6" t="str">
        <f>IFERROR(((IPMT(Input!$E$55/12,B276,$C$6,Input!$E$54,-Input!$E$65,0)))," ")</f>
        <v xml:space="preserve"> </v>
      </c>
      <c r="F276" s="6" t="str">
        <f t="shared" si="39"/>
        <v/>
      </c>
      <c r="G276" s="6" t="str">
        <f t="shared" ref="G276:G317" si="48">IF(B276&lt;=$C$6,G275+E276,"")</f>
        <v/>
      </c>
      <c r="H276" s="6" t="str">
        <f t="shared" si="44"/>
        <v/>
      </c>
      <c r="I276" s="6" t="str">
        <f t="shared" si="45"/>
        <v/>
      </c>
      <c r="J276" s="6" t="str">
        <f>IF(B276&lt;&gt;"",IF(AND(Input!$H$54="Annual",MOD(B276,12)=0),Input!$J$54,IF(AND(Input!$H$54="1st Installment",B276=1),Input!$J$54,IF(Input!$H$54="Monthly",Input!$J$54,""))),"")</f>
        <v/>
      </c>
      <c r="K276" s="6" t="str">
        <f>IF(B276&lt;&gt;"",IF(AND(Input!$H$55="Annual",MOD(B276,12)=0),Input!$J$55,IF(AND(Input!$H$55="1st Installment",B276=1),Input!$J$55,IF(Input!$H$55="Monthly",Input!$J$55,""))),"")</f>
        <v/>
      </c>
      <c r="L276" s="6" t="str">
        <f>IF(B276&lt;&gt;"",IF(AND(Input!$H$56="Annual",MOD(B276,12)=0),Input!$J$56,IF(AND(Input!$H$56="1st Installment",B276=1),Input!$J$56,IF(Input!$H$56="Monthly",Input!$J$56,""))),"")</f>
        <v/>
      </c>
      <c r="M276" s="6" t="str">
        <f>IF(B276&lt;&gt;"",IF(AND(Input!$H$57="Annual",MOD(B276,12)=0),Input!$J$57,IF(AND(Input!$H$57="1st Installment",B276=1),Input!$J$57,IF(Input!$H$57="Monthly",Input!$J$57,""))),"")</f>
        <v/>
      </c>
      <c r="N276" s="6" t="str">
        <f>IF(B276&lt;&gt;"",IF(AND(Input!$H$58="Annual",MOD(B276,12)=0),Input!$J$58,IF(AND(Input!$H$58="1st Installment",B276=1),Input!$J$58,IF(Input!$H$58="Monthly",Input!$J$58,IF(AND(Input!$H$58="End of the loan",B276=Input!$E$58),Input!$J$58,"")))),"")</f>
        <v/>
      </c>
      <c r="O276" s="6" t="str">
        <f t="shared" si="40"/>
        <v/>
      </c>
      <c r="P276" s="4" t="str">
        <f t="shared" si="41"/>
        <v/>
      </c>
      <c r="T276" s="9" t="str">
        <f t="shared" si="42"/>
        <v/>
      </c>
      <c r="U276" s="5" t="str">
        <f t="shared" si="43"/>
        <v xml:space="preserve"> </v>
      </c>
    </row>
    <row r="277" spans="2:21" x14ac:dyDescent="0.2">
      <c r="B277" s="181" t="str">
        <f t="shared" si="46"/>
        <v/>
      </c>
      <c r="C277" s="162" t="str">
        <f t="shared" si="47"/>
        <v/>
      </c>
      <c r="D277" s="6" t="str">
        <f>IFERROR((PPMT(Input!$E$55/12,B277,$C$6,Input!$E$54,-Input!$E$65,0))," ")</f>
        <v xml:space="preserve"> </v>
      </c>
      <c r="E277" s="6" t="str">
        <f>IFERROR(((IPMT(Input!$E$55/12,B277,$C$6,Input!$E$54,-Input!$E$65,0)))," ")</f>
        <v xml:space="preserve"> </v>
      </c>
      <c r="F277" s="6" t="str">
        <f t="shared" ref="F277:F316" si="49">IF(B277&lt;=$C$6,F276+D277,"")</f>
        <v/>
      </c>
      <c r="G277" s="6" t="str">
        <f t="shared" si="48"/>
        <v/>
      </c>
      <c r="H277" s="6" t="str">
        <f t="shared" si="44"/>
        <v/>
      </c>
      <c r="I277" s="6" t="str">
        <f t="shared" si="45"/>
        <v/>
      </c>
      <c r="J277" s="6" t="str">
        <f>IF(B277&lt;&gt;"",IF(AND(Input!$H$54="Annual",MOD(B277,12)=0),Input!$J$54,IF(AND(Input!$H$54="1st Installment",B277=1),Input!$J$54,IF(Input!$H$54="Monthly",Input!$J$54,""))),"")</f>
        <v/>
      </c>
      <c r="K277" s="6" t="str">
        <f>IF(B277&lt;&gt;"",IF(AND(Input!$H$55="Annual",MOD(B277,12)=0),Input!$J$55,IF(AND(Input!$H$55="1st Installment",B277=1),Input!$J$55,IF(Input!$H$55="Monthly",Input!$J$55,""))),"")</f>
        <v/>
      </c>
      <c r="L277" s="6" t="str">
        <f>IF(B277&lt;&gt;"",IF(AND(Input!$H$56="Annual",MOD(B277,12)=0),Input!$J$56,IF(AND(Input!$H$56="1st Installment",B277=1),Input!$J$56,IF(Input!$H$56="Monthly",Input!$J$56,""))),"")</f>
        <v/>
      </c>
      <c r="M277" s="6" t="str">
        <f>IF(B277&lt;&gt;"",IF(AND(Input!$H$57="Annual",MOD(B277,12)=0),Input!$J$57,IF(AND(Input!$H$57="1st Installment",B277=1),Input!$J$57,IF(Input!$H$57="Monthly",Input!$J$57,""))),"")</f>
        <v/>
      </c>
      <c r="N277" s="6" t="str">
        <f>IF(B277&lt;&gt;"",IF(AND(Input!$H$58="Annual",MOD(B277,12)=0),Input!$J$58,IF(AND(Input!$H$58="1st Installment",B277=1),Input!$J$58,IF(Input!$H$58="Monthly",Input!$J$58,IF(AND(Input!$H$58="End of the loan",B277=Input!$E$58),Input!$J$58,"")))),"")</f>
        <v/>
      </c>
      <c r="O277" s="6" t="str">
        <f t="shared" si="40"/>
        <v/>
      </c>
      <c r="P277" s="4" t="str">
        <f t="shared" si="41"/>
        <v/>
      </c>
      <c r="T277" s="9" t="str">
        <f t="shared" si="42"/>
        <v/>
      </c>
      <c r="U277" s="5" t="str">
        <f t="shared" si="43"/>
        <v xml:space="preserve"> </v>
      </c>
    </row>
    <row r="278" spans="2:21" x14ac:dyDescent="0.2">
      <c r="B278" s="181" t="str">
        <f t="shared" si="46"/>
        <v/>
      </c>
      <c r="C278" s="162" t="str">
        <f t="shared" si="47"/>
        <v/>
      </c>
      <c r="D278" s="6" t="str">
        <f>IFERROR((PPMT(Input!$E$55/12,B278,$C$6,Input!$E$54,-Input!$E$65,0))," ")</f>
        <v xml:space="preserve"> </v>
      </c>
      <c r="E278" s="6" t="str">
        <f>IFERROR(((IPMT(Input!$E$55/12,B278,$C$6,Input!$E$54,-Input!$E$65,0)))," ")</f>
        <v xml:space="preserve"> </v>
      </c>
      <c r="F278" s="6" t="str">
        <f t="shared" si="49"/>
        <v/>
      </c>
      <c r="G278" s="6" t="str">
        <f t="shared" si="48"/>
        <v/>
      </c>
      <c r="H278" s="6" t="str">
        <f t="shared" si="44"/>
        <v/>
      </c>
      <c r="I278" s="6" t="str">
        <f t="shared" si="45"/>
        <v/>
      </c>
      <c r="J278" s="6" t="str">
        <f>IF(B278&lt;&gt;"",IF(AND(Input!$H$54="Annual",MOD(B278,12)=0),Input!$J$54,IF(AND(Input!$H$54="1st Installment",B278=1),Input!$J$54,IF(Input!$H$54="Monthly",Input!$J$54,""))),"")</f>
        <v/>
      </c>
      <c r="K278" s="6" t="str">
        <f>IF(B278&lt;&gt;"",IF(AND(Input!$H$55="Annual",MOD(B278,12)=0),Input!$J$55,IF(AND(Input!$H$55="1st Installment",B278=1),Input!$J$55,IF(Input!$H$55="Monthly",Input!$J$55,""))),"")</f>
        <v/>
      </c>
      <c r="L278" s="6" t="str">
        <f>IF(B278&lt;&gt;"",IF(AND(Input!$H$56="Annual",MOD(B278,12)=0),Input!$J$56,IF(AND(Input!$H$56="1st Installment",B278=1),Input!$J$56,IF(Input!$H$56="Monthly",Input!$J$56,""))),"")</f>
        <v/>
      </c>
      <c r="M278" s="6" t="str">
        <f>IF(B278&lt;&gt;"",IF(AND(Input!$H$57="Annual",MOD(B278,12)=0),Input!$J$57,IF(AND(Input!$H$57="1st Installment",B278=1),Input!$J$57,IF(Input!$H$57="Monthly",Input!$J$57,""))),"")</f>
        <v/>
      </c>
      <c r="N278" s="6" t="str">
        <f>IF(B278&lt;&gt;"",IF(AND(Input!$H$58="Annual",MOD(B278,12)=0),Input!$J$58,IF(AND(Input!$H$58="1st Installment",B278=1),Input!$J$58,IF(Input!$H$58="Monthly",Input!$J$58,IF(AND(Input!$H$58="End of the loan",B278=Input!$E$58),Input!$J$58,"")))),"")</f>
        <v/>
      </c>
      <c r="O278" s="6" t="str">
        <f t="shared" si="40"/>
        <v/>
      </c>
      <c r="P278" s="4" t="str">
        <f t="shared" si="41"/>
        <v/>
      </c>
      <c r="T278" s="9" t="str">
        <f t="shared" si="42"/>
        <v/>
      </c>
      <c r="U278" s="5" t="str">
        <f t="shared" si="43"/>
        <v xml:space="preserve"> </v>
      </c>
    </row>
    <row r="279" spans="2:21" x14ac:dyDescent="0.2">
      <c r="B279" s="181" t="str">
        <f t="shared" si="46"/>
        <v/>
      </c>
      <c r="C279" s="162" t="str">
        <f t="shared" si="47"/>
        <v/>
      </c>
      <c r="D279" s="6" t="str">
        <f>IFERROR((PPMT(Input!$E$55/12,B279,$C$6,Input!$E$54,-Input!$E$65,0))," ")</f>
        <v xml:space="preserve"> </v>
      </c>
      <c r="E279" s="6" t="str">
        <f>IFERROR(((IPMT(Input!$E$55/12,B279,$C$6,Input!$E$54,-Input!$E$65,0)))," ")</f>
        <v xml:space="preserve"> </v>
      </c>
      <c r="F279" s="6" t="str">
        <f t="shared" si="49"/>
        <v/>
      </c>
      <c r="G279" s="6" t="str">
        <f t="shared" si="48"/>
        <v/>
      </c>
      <c r="H279" s="6" t="str">
        <f t="shared" si="44"/>
        <v/>
      </c>
      <c r="I279" s="6" t="str">
        <f t="shared" si="45"/>
        <v/>
      </c>
      <c r="J279" s="6" t="str">
        <f>IF(B279&lt;&gt;"",IF(AND(Input!$H$54="Annual",MOD(B279,12)=0),Input!$J$54,IF(AND(Input!$H$54="1st Installment",B279=1),Input!$J$54,IF(Input!$H$54="Monthly",Input!$J$54,""))),"")</f>
        <v/>
      </c>
      <c r="K279" s="6" t="str">
        <f>IF(B279&lt;&gt;"",IF(AND(Input!$H$55="Annual",MOD(B279,12)=0),Input!$J$55,IF(AND(Input!$H$55="1st Installment",B279=1),Input!$J$55,IF(Input!$H$55="Monthly",Input!$J$55,""))),"")</f>
        <v/>
      </c>
      <c r="L279" s="6" t="str">
        <f>IF(B279&lt;&gt;"",IF(AND(Input!$H$56="Annual",MOD(B279,12)=0),Input!$J$56,IF(AND(Input!$H$56="1st Installment",B279=1),Input!$J$56,IF(Input!$H$56="Monthly",Input!$J$56,""))),"")</f>
        <v/>
      </c>
      <c r="M279" s="6" t="str">
        <f>IF(B279&lt;&gt;"",IF(AND(Input!$H$57="Annual",MOD(B279,12)=0),Input!$J$57,IF(AND(Input!$H$57="1st Installment",B279=1),Input!$J$57,IF(Input!$H$57="Monthly",Input!$J$57,""))),"")</f>
        <v/>
      </c>
      <c r="N279" s="6" t="str">
        <f>IF(B279&lt;&gt;"",IF(AND(Input!$H$58="Annual",MOD(B279,12)=0),Input!$J$58,IF(AND(Input!$H$58="1st Installment",B279=1),Input!$J$58,IF(Input!$H$58="Monthly",Input!$J$58,IF(AND(Input!$H$58="End of the loan",B279=Input!$E$58),Input!$J$58,"")))),"")</f>
        <v/>
      </c>
      <c r="O279" s="6" t="str">
        <f t="shared" si="40"/>
        <v/>
      </c>
      <c r="P279" s="4" t="str">
        <f t="shared" si="41"/>
        <v/>
      </c>
      <c r="T279" s="9" t="str">
        <f t="shared" si="42"/>
        <v/>
      </c>
      <c r="U279" s="5" t="str">
        <f t="shared" si="43"/>
        <v xml:space="preserve"> </v>
      </c>
    </row>
    <row r="280" spans="2:21" x14ac:dyDescent="0.2">
      <c r="B280" s="181" t="str">
        <f t="shared" si="46"/>
        <v/>
      </c>
      <c r="C280" s="162" t="str">
        <f t="shared" si="47"/>
        <v/>
      </c>
      <c r="D280" s="6" t="str">
        <f>IFERROR((PPMT(Input!$E$55/12,B280,$C$6,Input!$E$54,-Input!$E$65,0))," ")</f>
        <v xml:space="preserve"> </v>
      </c>
      <c r="E280" s="6" t="str">
        <f>IFERROR(((IPMT(Input!$E$55/12,B280,$C$6,Input!$E$54,-Input!$E$65,0)))," ")</f>
        <v xml:space="preserve"> </v>
      </c>
      <c r="F280" s="6" t="str">
        <f t="shared" si="49"/>
        <v/>
      </c>
      <c r="G280" s="6" t="str">
        <f t="shared" si="48"/>
        <v/>
      </c>
      <c r="H280" s="6" t="str">
        <f t="shared" si="44"/>
        <v/>
      </c>
      <c r="I280" s="6" t="str">
        <f t="shared" si="45"/>
        <v/>
      </c>
      <c r="J280" s="6" t="str">
        <f>IF(B280&lt;&gt;"",IF(AND(Input!$H$54="Annual",MOD(B280,12)=0),Input!$J$54,IF(AND(Input!$H$54="1st Installment",B280=1),Input!$J$54,IF(Input!$H$54="Monthly",Input!$J$54,""))),"")</f>
        <v/>
      </c>
      <c r="K280" s="6" t="str">
        <f>IF(B280&lt;&gt;"",IF(AND(Input!$H$55="Annual",MOD(B280,12)=0),Input!$J$55,IF(AND(Input!$H$55="1st Installment",B280=1),Input!$J$55,IF(Input!$H$55="Monthly",Input!$J$55,""))),"")</f>
        <v/>
      </c>
      <c r="L280" s="6" t="str">
        <f>IF(B280&lt;&gt;"",IF(AND(Input!$H$56="Annual",MOD(B280,12)=0),Input!$J$56,IF(AND(Input!$H$56="1st Installment",B280=1),Input!$J$56,IF(Input!$H$56="Monthly",Input!$J$56,""))),"")</f>
        <v/>
      </c>
      <c r="M280" s="6" t="str">
        <f>IF(B280&lt;&gt;"",IF(AND(Input!$H$57="Annual",MOD(B280,12)=0),Input!$J$57,IF(AND(Input!$H$57="1st Installment",B280=1),Input!$J$57,IF(Input!$H$57="Monthly",Input!$J$57,""))),"")</f>
        <v/>
      </c>
      <c r="N280" s="6" t="str">
        <f>IF(B280&lt;&gt;"",IF(AND(Input!$H$58="Annual",MOD(B280,12)=0),Input!$J$58,IF(AND(Input!$H$58="1st Installment",B280=1),Input!$J$58,IF(Input!$H$58="Monthly",Input!$J$58,IF(AND(Input!$H$58="End of the loan",B280=Input!$E$58),Input!$J$58,"")))),"")</f>
        <v/>
      </c>
      <c r="O280" s="6" t="str">
        <f t="shared" si="40"/>
        <v/>
      </c>
      <c r="P280" s="4" t="str">
        <f t="shared" si="41"/>
        <v/>
      </c>
      <c r="T280" s="9" t="str">
        <f t="shared" si="42"/>
        <v/>
      </c>
      <c r="U280" s="5" t="str">
        <f t="shared" si="43"/>
        <v xml:space="preserve"> </v>
      </c>
    </row>
    <row r="281" spans="2:21" x14ac:dyDescent="0.2">
      <c r="B281" s="181" t="str">
        <f t="shared" si="46"/>
        <v/>
      </c>
      <c r="C281" s="162" t="str">
        <f t="shared" si="47"/>
        <v/>
      </c>
      <c r="D281" s="6" t="str">
        <f>IFERROR((PPMT(Input!$E$55/12,B281,$C$6,Input!$E$54,-Input!$E$65,0))," ")</f>
        <v xml:space="preserve"> </v>
      </c>
      <c r="E281" s="6" t="str">
        <f>IFERROR(((IPMT(Input!$E$55/12,B281,$C$6,Input!$E$54,-Input!$E$65,0)))," ")</f>
        <v xml:space="preserve"> </v>
      </c>
      <c r="F281" s="6" t="str">
        <f t="shared" si="49"/>
        <v/>
      </c>
      <c r="G281" s="6" t="str">
        <f t="shared" si="48"/>
        <v/>
      </c>
      <c r="H281" s="6" t="str">
        <f t="shared" si="44"/>
        <v/>
      </c>
      <c r="I281" s="6" t="str">
        <f t="shared" si="45"/>
        <v/>
      </c>
      <c r="J281" s="6" t="str">
        <f>IF(B281&lt;&gt;"",IF(AND(Input!$H$54="Annual",MOD(B281,12)=0),Input!$J$54,IF(AND(Input!$H$54="1st Installment",B281=1),Input!$J$54,IF(Input!$H$54="Monthly",Input!$J$54,""))),"")</f>
        <v/>
      </c>
      <c r="K281" s="6" t="str">
        <f>IF(B281&lt;&gt;"",IF(AND(Input!$H$55="Annual",MOD(B281,12)=0),Input!$J$55,IF(AND(Input!$H$55="1st Installment",B281=1),Input!$J$55,IF(Input!$H$55="Monthly",Input!$J$55,""))),"")</f>
        <v/>
      </c>
      <c r="L281" s="6" t="str">
        <f>IF(B281&lt;&gt;"",IF(AND(Input!$H$56="Annual",MOD(B281,12)=0),Input!$J$56,IF(AND(Input!$H$56="1st Installment",B281=1),Input!$J$56,IF(Input!$H$56="Monthly",Input!$J$56,""))),"")</f>
        <v/>
      </c>
      <c r="M281" s="6" t="str">
        <f>IF(B281&lt;&gt;"",IF(AND(Input!$H$57="Annual",MOD(B281,12)=0),Input!$J$57,IF(AND(Input!$H$57="1st Installment",B281=1),Input!$J$57,IF(Input!$H$57="Monthly",Input!$J$57,""))),"")</f>
        <v/>
      </c>
      <c r="N281" s="6" t="str">
        <f>IF(B281&lt;&gt;"",IF(AND(Input!$H$58="Annual",MOD(B281,12)=0),Input!$J$58,IF(AND(Input!$H$58="1st Installment",B281=1),Input!$J$58,IF(Input!$H$58="Monthly",Input!$J$58,IF(AND(Input!$H$58="End of the loan",B281=Input!$E$58),Input!$J$58,"")))),"")</f>
        <v/>
      </c>
      <c r="O281" s="6" t="str">
        <f t="shared" si="40"/>
        <v/>
      </c>
      <c r="P281" s="4" t="str">
        <f t="shared" si="41"/>
        <v/>
      </c>
      <c r="T281" s="9" t="str">
        <f t="shared" si="42"/>
        <v/>
      </c>
      <c r="U281" s="5" t="str">
        <f t="shared" si="43"/>
        <v xml:space="preserve"> </v>
      </c>
    </row>
    <row r="282" spans="2:21" x14ac:dyDescent="0.2">
      <c r="B282" s="181" t="str">
        <f t="shared" si="46"/>
        <v/>
      </c>
      <c r="C282" s="162" t="str">
        <f t="shared" si="47"/>
        <v/>
      </c>
      <c r="D282" s="6" t="str">
        <f>IFERROR((PPMT(Input!$E$55/12,B282,$C$6,Input!$E$54,-Input!$E$65,0))," ")</f>
        <v xml:space="preserve"> </v>
      </c>
      <c r="E282" s="6" t="str">
        <f>IFERROR(((IPMT(Input!$E$55/12,B282,$C$6,Input!$E$54,-Input!$E$65,0)))," ")</f>
        <v xml:space="preserve"> </v>
      </c>
      <c r="F282" s="6" t="str">
        <f t="shared" si="49"/>
        <v/>
      </c>
      <c r="G282" s="6" t="str">
        <f t="shared" si="48"/>
        <v/>
      </c>
      <c r="H282" s="6" t="str">
        <f t="shared" si="44"/>
        <v/>
      </c>
      <c r="I282" s="6" t="str">
        <f t="shared" si="45"/>
        <v/>
      </c>
      <c r="J282" s="6" t="str">
        <f>IF(B282&lt;&gt;"",IF(AND(Input!$H$54="Annual",MOD(B282,12)=0),Input!$J$54,IF(AND(Input!$H$54="1st Installment",B282=1),Input!$J$54,IF(Input!$H$54="Monthly",Input!$J$54,""))),"")</f>
        <v/>
      </c>
      <c r="K282" s="6" t="str">
        <f>IF(B282&lt;&gt;"",IF(AND(Input!$H$55="Annual",MOD(B282,12)=0),Input!$J$55,IF(AND(Input!$H$55="1st Installment",B282=1),Input!$J$55,IF(Input!$H$55="Monthly",Input!$J$55,""))),"")</f>
        <v/>
      </c>
      <c r="L282" s="6" t="str">
        <f>IF(B282&lt;&gt;"",IF(AND(Input!$H$56="Annual",MOD(B282,12)=0),Input!$J$56,IF(AND(Input!$H$56="1st Installment",B282=1),Input!$J$56,IF(Input!$H$56="Monthly",Input!$J$56,""))),"")</f>
        <v/>
      </c>
      <c r="M282" s="6" t="str">
        <f>IF(B282&lt;&gt;"",IF(AND(Input!$H$57="Annual",MOD(B282,12)=0),Input!$J$57,IF(AND(Input!$H$57="1st Installment",B282=1),Input!$J$57,IF(Input!$H$57="Monthly",Input!$J$57,""))),"")</f>
        <v/>
      </c>
      <c r="N282" s="6" t="str">
        <f>IF(B282&lt;&gt;"",IF(AND(Input!$H$58="Annual",MOD(B282,12)=0),Input!$J$58,IF(AND(Input!$H$58="1st Installment",B282=1),Input!$J$58,IF(Input!$H$58="Monthly",Input!$J$58,IF(AND(Input!$H$58="End of the loan",B282=Input!$E$58),Input!$J$58,"")))),"")</f>
        <v/>
      </c>
      <c r="O282" s="6" t="str">
        <f t="shared" si="40"/>
        <v/>
      </c>
      <c r="P282" s="4" t="str">
        <f t="shared" si="41"/>
        <v/>
      </c>
      <c r="T282" s="9" t="str">
        <f t="shared" si="42"/>
        <v/>
      </c>
      <c r="U282" s="5" t="str">
        <f t="shared" si="43"/>
        <v xml:space="preserve"> </v>
      </c>
    </row>
    <row r="283" spans="2:21" x14ac:dyDescent="0.2">
      <c r="B283" s="181" t="str">
        <f t="shared" si="46"/>
        <v/>
      </c>
      <c r="C283" s="162" t="str">
        <f t="shared" si="47"/>
        <v/>
      </c>
      <c r="D283" s="6" t="str">
        <f>IFERROR((PPMT(Input!$E$55/12,B283,$C$6,Input!$E$54,-Input!$E$65,0))," ")</f>
        <v xml:space="preserve"> </v>
      </c>
      <c r="E283" s="6" t="str">
        <f>IFERROR(((IPMT(Input!$E$55/12,B283,$C$6,Input!$E$54,-Input!$E$65,0)))," ")</f>
        <v xml:space="preserve"> </v>
      </c>
      <c r="F283" s="6" t="str">
        <f t="shared" si="49"/>
        <v/>
      </c>
      <c r="G283" s="6" t="str">
        <f t="shared" si="48"/>
        <v/>
      </c>
      <c r="H283" s="6" t="str">
        <f t="shared" si="44"/>
        <v/>
      </c>
      <c r="I283" s="6" t="str">
        <f t="shared" si="45"/>
        <v/>
      </c>
      <c r="J283" s="6" t="str">
        <f>IF(B283&lt;&gt;"",IF(AND(Input!$H$54="Annual",MOD(B283,12)=0),Input!$J$54,IF(AND(Input!$H$54="1st Installment",B283=1),Input!$J$54,IF(Input!$H$54="Monthly",Input!$J$54,""))),"")</f>
        <v/>
      </c>
      <c r="K283" s="6" t="str">
        <f>IF(B283&lt;&gt;"",IF(AND(Input!$H$55="Annual",MOD(B283,12)=0),Input!$J$55,IF(AND(Input!$H$55="1st Installment",B283=1),Input!$J$55,IF(Input!$H$55="Monthly",Input!$J$55,""))),"")</f>
        <v/>
      </c>
      <c r="L283" s="6" t="str">
        <f>IF(B283&lt;&gt;"",IF(AND(Input!$H$56="Annual",MOD(B283,12)=0),Input!$J$56,IF(AND(Input!$H$56="1st Installment",B283=1),Input!$J$56,IF(Input!$H$56="Monthly",Input!$J$56,""))),"")</f>
        <v/>
      </c>
      <c r="M283" s="6" t="str">
        <f>IF(B283&lt;&gt;"",IF(AND(Input!$H$57="Annual",MOD(B283,12)=0),Input!$J$57,IF(AND(Input!$H$57="1st Installment",B283=1),Input!$J$57,IF(Input!$H$57="Monthly",Input!$J$57,""))),"")</f>
        <v/>
      </c>
      <c r="N283" s="6" t="str">
        <f>IF(B283&lt;&gt;"",IF(AND(Input!$H$58="Annual",MOD(B283,12)=0),Input!$J$58,IF(AND(Input!$H$58="1st Installment",B283=1),Input!$J$58,IF(Input!$H$58="Monthly",Input!$J$58,IF(AND(Input!$H$58="End of the loan",B283=Input!$E$58),Input!$J$58,"")))),"")</f>
        <v/>
      </c>
      <c r="O283" s="6" t="str">
        <f t="shared" si="40"/>
        <v/>
      </c>
      <c r="P283" s="4" t="str">
        <f t="shared" si="41"/>
        <v/>
      </c>
      <c r="T283" s="9" t="str">
        <f t="shared" si="42"/>
        <v/>
      </c>
      <c r="U283" s="5" t="str">
        <f t="shared" si="43"/>
        <v xml:space="preserve"> </v>
      </c>
    </row>
    <row r="284" spans="2:21" x14ac:dyDescent="0.2">
      <c r="B284" s="181" t="str">
        <f t="shared" si="46"/>
        <v/>
      </c>
      <c r="C284" s="162" t="str">
        <f t="shared" si="47"/>
        <v/>
      </c>
      <c r="D284" s="6" t="str">
        <f>IFERROR((PPMT(Input!$E$55/12,B284,$C$6,Input!$E$54,-Input!$E$65,0))," ")</f>
        <v xml:space="preserve"> </v>
      </c>
      <c r="E284" s="6" t="str">
        <f>IFERROR(((IPMT(Input!$E$55/12,B284,$C$6,Input!$E$54,-Input!$E$65,0)))," ")</f>
        <v xml:space="preserve"> </v>
      </c>
      <c r="F284" s="6" t="str">
        <f t="shared" si="49"/>
        <v/>
      </c>
      <c r="G284" s="6" t="str">
        <f t="shared" si="48"/>
        <v/>
      </c>
      <c r="H284" s="6" t="str">
        <f t="shared" si="44"/>
        <v/>
      </c>
      <c r="I284" s="6" t="str">
        <f t="shared" si="45"/>
        <v/>
      </c>
      <c r="J284" s="6" t="str">
        <f>IF(B284&lt;&gt;"",IF(AND(Input!$H$54="Annual",MOD(B284,12)=0),Input!$J$54,IF(AND(Input!$H$54="1st Installment",B284=1),Input!$J$54,IF(Input!$H$54="Monthly",Input!$J$54,""))),"")</f>
        <v/>
      </c>
      <c r="K284" s="6" t="str">
        <f>IF(B284&lt;&gt;"",IF(AND(Input!$H$55="Annual",MOD(B284,12)=0),Input!$J$55,IF(AND(Input!$H$55="1st Installment",B284=1),Input!$J$55,IF(Input!$H$55="Monthly",Input!$J$55,""))),"")</f>
        <v/>
      </c>
      <c r="L284" s="6" t="str">
        <f>IF(B284&lt;&gt;"",IF(AND(Input!$H$56="Annual",MOD(B284,12)=0),Input!$J$56,IF(AND(Input!$H$56="1st Installment",B284=1),Input!$J$56,IF(Input!$H$56="Monthly",Input!$J$56,""))),"")</f>
        <v/>
      </c>
      <c r="M284" s="6" t="str">
        <f>IF(B284&lt;&gt;"",IF(AND(Input!$H$57="Annual",MOD(B284,12)=0),Input!$J$57,IF(AND(Input!$H$57="1st Installment",B284=1),Input!$J$57,IF(Input!$H$57="Monthly",Input!$J$57,""))),"")</f>
        <v/>
      </c>
      <c r="N284" s="6" t="str">
        <f>IF(B284&lt;&gt;"",IF(AND(Input!$H$58="Annual",MOD(B284,12)=0),Input!$J$58,IF(AND(Input!$H$58="1st Installment",B284=1),Input!$J$58,IF(Input!$H$58="Monthly",Input!$J$58,IF(AND(Input!$H$58="End of the loan",B284=Input!$E$58),Input!$J$58,"")))),"")</f>
        <v/>
      </c>
      <c r="O284" s="6" t="str">
        <f t="shared" si="40"/>
        <v/>
      </c>
      <c r="P284" s="4" t="str">
        <f t="shared" si="41"/>
        <v/>
      </c>
      <c r="T284" s="9" t="str">
        <f t="shared" si="42"/>
        <v/>
      </c>
      <c r="U284" s="5" t="str">
        <f t="shared" si="43"/>
        <v xml:space="preserve"> </v>
      </c>
    </row>
    <row r="285" spans="2:21" x14ac:dyDescent="0.2">
      <c r="B285" s="181" t="str">
        <f t="shared" si="46"/>
        <v/>
      </c>
      <c r="C285" s="162" t="str">
        <f t="shared" si="47"/>
        <v/>
      </c>
      <c r="D285" s="6" t="str">
        <f>IFERROR((PPMT(Input!$E$55/12,B285,$C$6,Input!$E$54,-Input!$E$65,0))," ")</f>
        <v xml:space="preserve"> </v>
      </c>
      <c r="E285" s="6" t="str">
        <f>IFERROR(((IPMT(Input!$E$55/12,B285,$C$6,Input!$E$54,-Input!$E$65,0)))," ")</f>
        <v xml:space="preserve"> </v>
      </c>
      <c r="F285" s="6" t="str">
        <f t="shared" si="49"/>
        <v/>
      </c>
      <c r="G285" s="6" t="str">
        <f t="shared" si="48"/>
        <v/>
      </c>
      <c r="H285" s="6" t="str">
        <f t="shared" si="44"/>
        <v/>
      </c>
      <c r="I285" s="6" t="str">
        <f t="shared" si="45"/>
        <v/>
      </c>
      <c r="J285" s="6" t="str">
        <f>IF(B285&lt;&gt;"",IF(AND(Input!$H$54="Annual",MOD(B285,12)=0),Input!$J$54,IF(AND(Input!$H$54="1st Installment",B285=1),Input!$J$54,IF(Input!$H$54="Monthly",Input!$J$54,""))),"")</f>
        <v/>
      </c>
      <c r="K285" s="6" t="str">
        <f>IF(B285&lt;&gt;"",IF(AND(Input!$H$55="Annual",MOD(B285,12)=0),Input!$J$55,IF(AND(Input!$H$55="1st Installment",B285=1),Input!$J$55,IF(Input!$H$55="Monthly",Input!$J$55,""))),"")</f>
        <v/>
      </c>
      <c r="L285" s="6" t="str">
        <f>IF(B285&lt;&gt;"",IF(AND(Input!$H$56="Annual",MOD(B285,12)=0),Input!$J$56,IF(AND(Input!$H$56="1st Installment",B285=1),Input!$J$56,IF(Input!$H$56="Monthly",Input!$J$56,""))),"")</f>
        <v/>
      </c>
      <c r="M285" s="6" t="str">
        <f>IF(B285&lt;&gt;"",IF(AND(Input!$H$57="Annual",MOD(B285,12)=0),Input!$J$57,IF(AND(Input!$H$57="1st Installment",B285=1),Input!$J$57,IF(Input!$H$57="Monthly",Input!$J$57,""))),"")</f>
        <v/>
      </c>
      <c r="N285" s="6" t="str">
        <f>IF(B285&lt;&gt;"",IF(AND(Input!$H$58="Annual",MOD(B285,12)=0),Input!$J$58,IF(AND(Input!$H$58="1st Installment",B285=1),Input!$J$58,IF(Input!$H$58="Monthly",Input!$J$58,IF(AND(Input!$H$58="End of the loan",B285=Input!$E$58),Input!$J$58,"")))),"")</f>
        <v/>
      </c>
      <c r="O285" s="6" t="str">
        <f t="shared" si="40"/>
        <v/>
      </c>
      <c r="P285" s="4" t="str">
        <f t="shared" si="41"/>
        <v/>
      </c>
      <c r="T285" s="9" t="str">
        <f t="shared" si="42"/>
        <v/>
      </c>
      <c r="U285" s="5" t="str">
        <f t="shared" si="43"/>
        <v xml:space="preserve"> </v>
      </c>
    </row>
    <row r="286" spans="2:21" x14ac:dyDescent="0.2">
      <c r="B286" s="181" t="str">
        <f t="shared" si="46"/>
        <v/>
      </c>
      <c r="C286" s="162" t="str">
        <f t="shared" si="47"/>
        <v/>
      </c>
      <c r="D286" s="6" t="str">
        <f>IFERROR((PPMT(Input!$E$55/12,B286,$C$6,Input!$E$54,-Input!$E$65,0))," ")</f>
        <v xml:space="preserve"> </v>
      </c>
      <c r="E286" s="6" t="str">
        <f>IFERROR(((IPMT(Input!$E$55/12,B286,$C$6,Input!$E$54,-Input!$E$65,0)))," ")</f>
        <v xml:space="preserve"> </v>
      </c>
      <c r="F286" s="6" t="str">
        <f t="shared" si="49"/>
        <v/>
      </c>
      <c r="G286" s="6" t="str">
        <f t="shared" si="48"/>
        <v/>
      </c>
      <c r="H286" s="6" t="str">
        <f t="shared" si="44"/>
        <v/>
      </c>
      <c r="I286" s="6" t="str">
        <f t="shared" si="45"/>
        <v/>
      </c>
      <c r="J286" s="6" t="str">
        <f>IF(B286&lt;&gt;"",IF(AND(Input!$H$54="Annual",MOD(B286,12)=0),Input!$J$54,IF(AND(Input!$H$54="1st Installment",B286=1),Input!$J$54,IF(Input!$H$54="Monthly",Input!$J$54,""))),"")</f>
        <v/>
      </c>
      <c r="K286" s="6" t="str">
        <f>IF(B286&lt;&gt;"",IF(AND(Input!$H$55="Annual",MOD(B286,12)=0),Input!$J$55,IF(AND(Input!$H$55="1st Installment",B286=1),Input!$J$55,IF(Input!$H$55="Monthly",Input!$J$55,""))),"")</f>
        <v/>
      </c>
      <c r="L286" s="6" t="str">
        <f>IF(B286&lt;&gt;"",IF(AND(Input!$H$56="Annual",MOD(B286,12)=0),Input!$J$56,IF(AND(Input!$H$56="1st Installment",B286=1),Input!$J$56,IF(Input!$H$56="Monthly",Input!$J$56,""))),"")</f>
        <v/>
      </c>
      <c r="M286" s="6" t="str">
        <f>IF(B286&lt;&gt;"",IF(AND(Input!$H$57="Annual",MOD(B286,12)=0),Input!$J$57,IF(AND(Input!$H$57="1st Installment",B286=1),Input!$J$57,IF(Input!$H$57="Monthly",Input!$J$57,""))),"")</f>
        <v/>
      </c>
      <c r="N286" s="6" t="str">
        <f>IF(B286&lt;&gt;"",IF(AND(Input!$H$58="Annual",MOD(B286,12)=0),Input!$J$58,IF(AND(Input!$H$58="1st Installment",B286=1),Input!$J$58,IF(Input!$H$58="Monthly",Input!$J$58,IF(AND(Input!$H$58="End of the loan",B286=Input!$E$58),Input!$J$58,"")))),"")</f>
        <v/>
      </c>
      <c r="O286" s="6" t="str">
        <f t="shared" si="40"/>
        <v/>
      </c>
      <c r="P286" s="4" t="str">
        <f t="shared" si="41"/>
        <v/>
      </c>
      <c r="T286" s="9" t="str">
        <f t="shared" si="42"/>
        <v/>
      </c>
      <c r="U286" s="5" t="str">
        <f t="shared" si="43"/>
        <v xml:space="preserve"> </v>
      </c>
    </row>
    <row r="287" spans="2:21" x14ac:dyDescent="0.2">
      <c r="B287" s="181" t="str">
        <f t="shared" si="46"/>
        <v/>
      </c>
      <c r="C287" s="162" t="str">
        <f t="shared" si="47"/>
        <v/>
      </c>
      <c r="D287" s="6" t="str">
        <f>IFERROR((PPMT(Input!$E$55/12,B287,$C$6,Input!$E$54,-Input!$E$65,0))," ")</f>
        <v xml:space="preserve"> </v>
      </c>
      <c r="E287" s="6" t="str">
        <f>IFERROR(((IPMT(Input!$E$55/12,B287,$C$6,Input!$E$54,-Input!$E$65,0)))," ")</f>
        <v xml:space="preserve"> </v>
      </c>
      <c r="F287" s="6" t="str">
        <f t="shared" si="49"/>
        <v/>
      </c>
      <c r="G287" s="6" t="str">
        <f t="shared" si="48"/>
        <v/>
      </c>
      <c r="H287" s="6" t="str">
        <f t="shared" si="44"/>
        <v/>
      </c>
      <c r="I287" s="6" t="str">
        <f t="shared" si="45"/>
        <v/>
      </c>
      <c r="J287" s="6" t="str">
        <f>IF(B287&lt;&gt;"",IF(AND(Input!$H$54="Annual",MOD(B287,12)=0),Input!$J$54,IF(AND(Input!$H$54="1st Installment",B287=1),Input!$J$54,IF(Input!$H$54="Monthly",Input!$J$54,""))),"")</f>
        <v/>
      </c>
      <c r="K287" s="6" t="str">
        <f>IF(B287&lt;&gt;"",IF(AND(Input!$H$55="Annual",MOD(B287,12)=0),Input!$J$55,IF(AND(Input!$H$55="1st Installment",B287=1),Input!$J$55,IF(Input!$H$55="Monthly",Input!$J$55,""))),"")</f>
        <v/>
      </c>
      <c r="L287" s="6" t="str">
        <f>IF(B287&lt;&gt;"",IF(AND(Input!$H$56="Annual",MOD(B287,12)=0),Input!$J$56,IF(AND(Input!$H$56="1st Installment",B287=1),Input!$J$56,IF(Input!$H$56="Monthly",Input!$J$56,""))),"")</f>
        <v/>
      </c>
      <c r="M287" s="6" t="str">
        <f>IF(B287&lt;&gt;"",IF(AND(Input!$H$57="Annual",MOD(B287,12)=0),Input!$J$57,IF(AND(Input!$H$57="1st Installment",B287=1),Input!$J$57,IF(Input!$H$57="Monthly",Input!$J$57,""))),"")</f>
        <v/>
      </c>
      <c r="N287" s="6" t="str">
        <f>IF(B287&lt;&gt;"",IF(AND(Input!$H$58="Annual",MOD(B287,12)=0),Input!$J$58,IF(AND(Input!$H$58="1st Installment",B287=1),Input!$J$58,IF(Input!$H$58="Monthly",Input!$J$58,IF(AND(Input!$H$58="End of the loan",B287=Input!$E$58),Input!$J$58,"")))),"")</f>
        <v/>
      </c>
      <c r="O287" s="6" t="str">
        <f t="shared" si="40"/>
        <v/>
      </c>
      <c r="P287" s="4" t="str">
        <f t="shared" si="41"/>
        <v/>
      </c>
      <c r="T287" s="9" t="str">
        <f t="shared" si="42"/>
        <v/>
      </c>
      <c r="U287" s="5" t="str">
        <f t="shared" si="43"/>
        <v xml:space="preserve"> </v>
      </c>
    </row>
    <row r="288" spans="2:21" x14ac:dyDescent="0.2">
      <c r="B288" s="181" t="str">
        <f t="shared" si="46"/>
        <v/>
      </c>
      <c r="C288" s="162" t="str">
        <f t="shared" si="47"/>
        <v/>
      </c>
      <c r="D288" s="6" t="str">
        <f>IFERROR((PPMT(Input!$E$55/12,B288,$C$6,Input!$E$54,-Input!$E$65,0))," ")</f>
        <v xml:space="preserve"> </v>
      </c>
      <c r="E288" s="6" t="str">
        <f>IFERROR(((IPMT(Input!$E$55/12,B288,$C$6,Input!$E$54,-Input!$E$65,0)))," ")</f>
        <v xml:space="preserve"> </v>
      </c>
      <c r="F288" s="6" t="str">
        <f t="shared" si="49"/>
        <v/>
      </c>
      <c r="G288" s="6" t="str">
        <f t="shared" si="48"/>
        <v/>
      </c>
      <c r="H288" s="6" t="str">
        <f t="shared" si="44"/>
        <v/>
      </c>
      <c r="I288" s="6" t="str">
        <f t="shared" si="45"/>
        <v/>
      </c>
      <c r="J288" s="6" t="str">
        <f>IF(B288&lt;&gt;"",IF(AND(Input!$H$54="Annual",MOD(B288,12)=0),Input!$J$54,IF(AND(Input!$H$54="1st Installment",B288=1),Input!$J$54,IF(Input!$H$54="Monthly",Input!$J$54,""))),"")</f>
        <v/>
      </c>
      <c r="K288" s="6" t="str">
        <f>IF(B288&lt;&gt;"",IF(AND(Input!$H$55="Annual",MOD(B288,12)=0),Input!$J$55,IF(AND(Input!$H$55="1st Installment",B288=1),Input!$J$55,IF(Input!$H$55="Monthly",Input!$J$55,""))),"")</f>
        <v/>
      </c>
      <c r="L288" s="6" t="str">
        <f>IF(B288&lt;&gt;"",IF(AND(Input!$H$56="Annual",MOD(B288,12)=0),Input!$J$56,IF(AND(Input!$H$56="1st Installment",B288=1),Input!$J$56,IF(Input!$H$56="Monthly",Input!$J$56,""))),"")</f>
        <v/>
      </c>
      <c r="M288" s="6" t="str">
        <f>IF(B288&lt;&gt;"",IF(AND(Input!$H$57="Annual",MOD(B288,12)=0),Input!$J$57,IF(AND(Input!$H$57="1st Installment",B288=1),Input!$J$57,IF(Input!$H$57="Monthly",Input!$J$57,""))),"")</f>
        <v/>
      </c>
      <c r="N288" s="6" t="str">
        <f>IF(B288&lt;&gt;"",IF(AND(Input!$H$58="Annual",MOD(B288,12)=0),Input!$J$58,IF(AND(Input!$H$58="1st Installment",B288=1),Input!$J$58,IF(Input!$H$58="Monthly",Input!$J$58,IF(AND(Input!$H$58="End of the loan",B288=Input!$E$58),Input!$J$58,"")))),"")</f>
        <v/>
      </c>
      <c r="O288" s="6" t="str">
        <f t="shared" si="40"/>
        <v/>
      </c>
      <c r="P288" s="4" t="str">
        <f t="shared" si="41"/>
        <v/>
      </c>
      <c r="T288" s="9" t="str">
        <f t="shared" si="42"/>
        <v/>
      </c>
      <c r="U288" s="5" t="str">
        <f t="shared" si="43"/>
        <v xml:space="preserve"> </v>
      </c>
    </row>
    <row r="289" spans="2:21" x14ac:dyDescent="0.2">
      <c r="B289" s="181" t="str">
        <f t="shared" si="46"/>
        <v/>
      </c>
      <c r="C289" s="162" t="str">
        <f t="shared" si="47"/>
        <v/>
      </c>
      <c r="D289" s="6" t="str">
        <f>IFERROR((PPMT(Input!$E$55/12,B289,$C$6,Input!$E$54,-Input!$E$65,0))," ")</f>
        <v xml:space="preserve"> </v>
      </c>
      <c r="E289" s="6" t="str">
        <f>IFERROR(((IPMT(Input!$E$55/12,B289,$C$6,Input!$E$54,-Input!$E$65,0)))," ")</f>
        <v xml:space="preserve"> </v>
      </c>
      <c r="F289" s="6" t="str">
        <f t="shared" si="49"/>
        <v/>
      </c>
      <c r="G289" s="6" t="str">
        <f t="shared" si="48"/>
        <v/>
      </c>
      <c r="H289" s="6" t="str">
        <f t="shared" si="44"/>
        <v/>
      </c>
      <c r="I289" s="6" t="str">
        <f t="shared" si="45"/>
        <v/>
      </c>
      <c r="J289" s="6" t="str">
        <f>IF(B289&lt;&gt;"",IF(AND(Input!$H$54="Annual",MOD(B289,12)=0),Input!$J$54,IF(AND(Input!$H$54="1st Installment",B289=1),Input!$J$54,IF(Input!$H$54="Monthly",Input!$J$54,""))),"")</f>
        <v/>
      </c>
      <c r="K289" s="6" t="str">
        <f>IF(B289&lt;&gt;"",IF(AND(Input!$H$55="Annual",MOD(B289,12)=0),Input!$J$55,IF(AND(Input!$H$55="1st Installment",B289=1),Input!$J$55,IF(Input!$H$55="Monthly",Input!$J$55,""))),"")</f>
        <v/>
      </c>
      <c r="L289" s="6" t="str">
        <f>IF(B289&lt;&gt;"",IF(AND(Input!$H$56="Annual",MOD(B289,12)=0),Input!$J$56,IF(AND(Input!$H$56="1st Installment",B289=1),Input!$J$56,IF(Input!$H$56="Monthly",Input!$J$56,""))),"")</f>
        <v/>
      </c>
      <c r="M289" s="6" t="str">
        <f>IF(B289&lt;&gt;"",IF(AND(Input!$H$57="Annual",MOD(B289,12)=0),Input!$J$57,IF(AND(Input!$H$57="1st Installment",B289=1),Input!$J$57,IF(Input!$H$57="Monthly",Input!$J$57,""))),"")</f>
        <v/>
      </c>
      <c r="N289" s="6" t="str">
        <f>IF(B289&lt;&gt;"",IF(AND(Input!$H$58="Annual",MOD(B289,12)=0),Input!$J$58,IF(AND(Input!$H$58="1st Installment",B289=1),Input!$J$58,IF(Input!$H$58="Monthly",Input!$J$58,IF(AND(Input!$H$58="End of the loan",B289=Input!$E$58),Input!$J$58,"")))),"")</f>
        <v/>
      </c>
      <c r="O289" s="6" t="str">
        <f t="shared" si="40"/>
        <v/>
      </c>
      <c r="P289" s="4" t="str">
        <f t="shared" si="41"/>
        <v/>
      </c>
      <c r="T289" s="9" t="str">
        <f t="shared" si="42"/>
        <v/>
      </c>
      <c r="U289" s="5" t="str">
        <f t="shared" si="43"/>
        <v xml:space="preserve"> </v>
      </c>
    </row>
    <row r="290" spans="2:21" x14ac:dyDescent="0.2">
      <c r="B290" s="181" t="str">
        <f t="shared" si="46"/>
        <v/>
      </c>
      <c r="C290" s="162" t="str">
        <f t="shared" si="47"/>
        <v/>
      </c>
      <c r="D290" s="6" t="str">
        <f>IFERROR((PPMT(Input!$E$55/12,B290,$C$6,Input!$E$54,-Input!$E$65,0))," ")</f>
        <v xml:space="preserve"> </v>
      </c>
      <c r="E290" s="6" t="str">
        <f>IFERROR(((IPMT(Input!$E$55/12,B290,$C$6,Input!$E$54,-Input!$E$65,0)))," ")</f>
        <v xml:space="preserve"> </v>
      </c>
      <c r="F290" s="6" t="str">
        <f t="shared" si="49"/>
        <v/>
      </c>
      <c r="G290" s="6" t="str">
        <f t="shared" si="48"/>
        <v/>
      </c>
      <c r="H290" s="6" t="str">
        <f t="shared" si="44"/>
        <v/>
      </c>
      <c r="I290" s="6" t="str">
        <f t="shared" si="45"/>
        <v/>
      </c>
      <c r="J290" s="6" t="str">
        <f>IF(B290&lt;&gt;"",IF(AND(Input!$H$54="Annual",MOD(B290,12)=0),Input!$J$54,IF(AND(Input!$H$54="1st Installment",B290=1),Input!$J$54,IF(Input!$H$54="Monthly",Input!$J$54,""))),"")</f>
        <v/>
      </c>
      <c r="K290" s="6" t="str">
        <f>IF(B290&lt;&gt;"",IF(AND(Input!$H$55="Annual",MOD(B290,12)=0),Input!$J$55,IF(AND(Input!$H$55="1st Installment",B290=1),Input!$J$55,IF(Input!$H$55="Monthly",Input!$J$55,""))),"")</f>
        <v/>
      </c>
      <c r="L290" s="6" t="str">
        <f>IF(B290&lt;&gt;"",IF(AND(Input!$H$56="Annual",MOD(B290,12)=0),Input!$J$56,IF(AND(Input!$H$56="1st Installment",B290=1),Input!$J$56,IF(Input!$H$56="Monthly",Input!$J$56,""))),"")</f>
        <v/>
      </c>
      <c r="M290" s="6" t="str">
        <f>IF(B290&lt;&gt;"",IF(AND(Input!$H$57="Annual",MOD(B290,12)=0),Input!$J$57,IF(AND(Input!$H$57="1st Installment",B290=1),Input!$J$57,IF(Input!$H$57="Monthly",Input!$J$57,""))),"")</f>
        <v/>
      </c>
      <c r="N290" s="6" t="str">
        <f>IF(B290&lt;&gt;"",IF(AND(Input!$H$58="Annual",MOD(B290,12)=0),Input!$J$58,IF(AND(Input!$H$58="1st Installment",B290=1),Input!$J$58,IF(Input!$H$58="Monthly",Input!$J$58,IF(AND(Input!$H$58="End of the loan",B290=Input!$E$58),Input!$J$58,"")))),"")</f>
        <v/>
      </c>
      <c r="O290" s="6" t="str">
        <f t="shared" si="40"/>
        <v/>
      </c>
      <c r="P290" s="4" t="str">
        <f t="shared" si="41"/>
        <v/>
      </c>
      <c r="T290" s="9" t="str">
        <f t="shared" si="42"/>
        <v/>
      </c>
      <c r="U290" s="5" t="str">
        <f t="shared" si="43"/>
        <v xml:space="preserve"> </v>
      </c>
    </row>
    <row r="291" spans="2:21" x14ac:dyDescent="0.2">
      <c r="B291" s="181" t="str">
        <f t="shared" si="46"/>
        <v/>
      </c>
      <c r="C291" s="162" t="str">
        <f t="shared" si="47"/>
        <v/>
      </c>
      <c r="D291" s="6" t="str">
        <f>IFERROR((PPMT(Input!$E$55/12,B291,$C$6,Input!$E$54,-Input!$E$65,0))," ")</f>
        <v xml:space="preserve"> </v>
      </c>
      <c r="E291" s="6" t="str">
        <f>IFERROR(((IPMT(Input!$E$55/12,B291,$C$6,Input!$E$54,-Input!$E$65,0)))," ")</f>
        <v xml:space="preserve"> </v>
      </c>
      <c r="F291" s="6" t="str">
        <f t="shared" si="49"/>
        <v/>
      </c>
      <c r="G291" s="6" t="str">
        <f t="shared" si="48"/>
        <v/>
      </c>
      <c r="H291" s="6" t="str">
        <f t="shared" si="44"/>
        <v/>
      </c>
      <c r="I291" s="6" t="str">
        <f t="shared" si="45"/>
        <v/>
      </c>
      <c r="J291" s="6" t="str">
        <f>IF(B291&lt;&gt;"",IF(AND(Input!$H$54="Annual",MOD(B291,12)=0),Input!$J$54,IF(AND(Input!$H$54="1st Installment",B291=1),Input!$J$54,IF(Input!$H$54="Monthly",Input!$J$54,""))),"")</f>
        <v/>
      </c>
      <c r="K291" s="6" t="str">
        <f>IF(B291&lt;&gt;"",IF(AND(Input!$H$55="Annual",MOD(B291,12)=0),Input!$J$55,IF(AND(Input!$H$55="1st Installment",B291=1),Input!$J$55,IF(Input!$H$55="Monthly",Input!$J$55,""))),"")</f>
        <v/>
      </c>
      <c r="L291" s="6" t="str">
        <f>IF(B291&lt;&gt;"",IF(AND(Input!$H$56="Annual",MOD(B291,12)=0),Input!$J$56,IF(AND(Input!$H$56="1st Installment",B291=1),Input!$J$56,IF(Input!$H$56="Monthly",Input!$J$56,""))),"")</f>
        <v/>
      </c>
      <c r="M291" s="6" t="str">
        <f>IF(B291&lt;&gt;"",IF(AND(Input!$H$57="Annual",MOD(B291,12)=0),Input!$J$57,IF(AND(Input!$H$57="1st Installment",B291=1),Input!$J$57,IF(Input!$H$57="Monthly",Input!$J$57,""))),"")</f>
        <v/>
      </c>
      <c r="N291" s="6" t="str">
        <f>IF(B291&lt;&gt;"",IF(AND(Input!$H$58="Annual",MOD(B291,12)=0),Input!$J$58,IF(AND(Input!$H$58="1st Installment",B291=1),Input!$J$58,IF(Input!$H$58="Monthly",Input!$J$58,IF(AND(Input!$H$58="End of the loan",B291=Input!$E$58),Input!$J$58,"")))),"")</f>
        <v/>
      </c>
      <c r="O291" s="6" t="str">
        <f t="shared" si="40"/>
        <v/>
      </c>
      <c r="P291" s="4" t="str">
        <f t="shared" si="41"/>
        <v/>
      </c>
      <c r="T291" s="9" t="str">
        <f t="shared" si="42"/>
        <v/>
      </c>
      <c r="U291" s="5" t="str">
        <f t="shared" si="43"/>
        <v xml:space="preserve"> </v>
      </c>
    </row>
    <row r="292" spans="2:21" x14ac:dyDescent="0.2">
      <c r="B292" s="181" t="str">
        <f t="shared" si="46"/>
        <v/>
      </c>
      <c r="C292" s="162" t="str">
        <f t="shared" si="47"/>
        <v/>
      </c>
      <c r="D292" s="6" t="str">
        <f>IFERROR((PPMT(Input!$E$55/12,B292,$C$6,Input!$E$54,-Input!$E$65,0))," ")</f>
        <v xml:space="preserve"> </v>
      </c>
      <c r="E292" s="6" t="str">
        <f>IFERROR(((IPMT(Input!$E$55/12,B292,$C$6,Input!$E$54,-Input!$E$65,0)))," ")</f>
        <v xml:space="preserve"> </v>
      </c>
      <c r="F292" s="6" t="str">
        <f t="shared" si="49"/>
        <v/>
      </c>
      <c r="G292" s="6" t="str">
        <f t="shared" si="48"/>
        <v/>
      </c>
      <c r="H292" s="6" t="str">
        <f t="shared" si="44"/>
        <v/>
      </c>
      <c r="I292" s="6" t="str">
        <f t="shared" si="45"/>
        <v/>
      </c>
      <c r="J292" s="6" t="str">
        <f>IF(B292&lt;&gt;"",IF(AND(Input!$H$54="Annual",MOD(B292,12)=0),Input!$J$54,IF(AND(Input!$H$54="1st Installment",B292=1),Input!$J$54,IF(Input!$H$54="Monthly",Input!$J$54,""))),"")</f>
        <v/>
      </c>
      <c r="K292" s="6" t="str">
        <f>IF(B292&lt;&gt;"",IF(AND(Input!$H$55="Annual",MOD(B292,12)=0),Input!$J$55,IF(AND(Input!$H$55="1st Installment",B292=1),Input!$J$55,IF(Input!$H$55="Monthly",Input!$J$55,""))),"")</f>
        <v/>
      </c>
      <c r="L292" s="6" t="str">
        <f>IF(B292&lt;&gt;"",IF(AND(Input!$H$56="Annual",MOD(B292,12)=0),Input!$J$56,IF(AND(Input!$H$56="1st Installment",B292=1),Input!$J$56,IF(Input!$H$56="Monthly",Input!$J$56,""))),"")</f>
        <v/>
      </c>
      <c r="M292" s="6" t="str">
        <f>IF(B292&lt;&gt;"",IF(AND(Input!$H$57="Annual",MOD(B292,12)=0),Input!$J$57,IF(AND(Input!$H$57="1st Installment",B292=1),Input!$J$57,IF(Input!$H$57="Monthly",Input!$J$57,""))),"")</f>
        <v/>
      </c>
      <c r="N292" s="6" t="str">
        <f>IF(B292&lt;&gt;"",IF(AND(Input!$H$58="Annual",MOD(B292,12)=0),Input!$J$58,IF(AND(Input!$H$58="1st Installment",B292=1),Input!$J$58,IF(Input!$H$58="Monthly",Input!$J$58,IF(AND(Input!$H$58="End of the loan",B292=Input!$E$58),Input!$J$58,"")))),"")</f>
        <v/>
      </c>
      <c r="O292" s="6" t="str">
        <f t="shared" si="40"/>
        <v/>
      </c>
      <c r="P292" s="4" t="str">
        <f t="shared" si="41"/>
        <v/>
      </c>
      <c r="T292" s="9" t="str">
        <f t="shared" si="42"/>
        <v/>
      </c>
      <c r="U292" s="5" t="str">
        <f t="shared" si="43"/>
        <v xml:space="preserve"> </v>
      </c>
    </row>
    <row r="293" spans="2:21" x14ac:dyDescent="0.2">
      <c r="B293" s="181" t="str">
        <f t="shared" si="46"/>
        <v/>
      </c>
      <c r="C293" s="162" t="str">
        <f t="shared" si="47"/>
        <v/>
      </c>
      <c r="D293" s="6" t="str">
        <f>IFERROR((PPMT(Input!$E$55/12,B293,$C$6,Input!$E$54,-Input!$E$65,0))," ")</f>
        <v xml:space="preserve"> </v>
      </c>
      <c r="E293" s="6" t="str">
        <f>IFERROR(((IPMT(Input!$E$55/12,B293,$C$6,Input!$E$54,-Input!$E$65,0)))," ")</f>
        <v xml:space="preserve"> </v>
      </c>
      <c r="F293" s="6" t="str">
        <f t="shared" si="49"/>
        <v/>
      </c>
      <c r="G293" s="6" t="str">
        <f t="shared" si="48"/>
        <v/>
      </c>
      <c r="H293" s="6" t="str">
        <f t="shared" si="44"/>
        <v/>
      </c>
      <c r="I293" s="6" t="str">
        <f t="shared" si="45"/>
        <v/>
      </c>
      <c r="J293" s="6" t="str">
        <f>IF(B293&lt;&gt;"",IF(AND(Input!$H$54="Annual",MOD(B293,12)=0),Input!$J$54,IF(AND(Input!$H$54="1st Installment",B293=1),Input!$J$54,IF(Input!$H$54="Monthly",Input!$J$54,""))),"")</f>
        <v/>
      </c>
      <c r="K293" s="6" t="str">
        <f>IF(B293&lt;&gt;"",IF(AND(Input!$H$55="Annual",MOD(B293,12)=0),Input!$J$55,IF(AND(Input!$H$55="1st Installment",B293=1),Input!$J$55,IF(Input!$H$55="Monthly",Input!$J$55,""))),"")</f>
        <v/>
      </c>
      <c r="L293" s="6" t="str">
        <f>IF(B293&lt;&gt;"",IF(AND(Input!$H$56="Annual",MOD(B293,12)=0),Input!$J$56,IF(AND(Input!$H$56="1st Installment",B293=1),Input!$J$56,IF(Input!$H$56="Monthly",Input!$J$56,""))),"")</f>
        <v/>
      </c>
      <c r="M293" s="6" t="str">
        <f>IF(B293&lt;&gt;"",IF(AND(Input!$H$57="Annual",MOD(B293,12)=0),Input!$J$57,IF(AND(Input!$H$57="1st Installment",B293=1),Input!$J$57,IF(Input!$H$57="Monthly",Input!$J$57,""))),"")</f>
        <v/>
      </c>
      <c r="N293" s="6" t="str">
        <f>IF(B293&lt;&gt;"",IF(AND(Input!$H$58="Annual",MOD(B293,12)=0),Input!$J$58,IF(AND(Input!$H$58="1st Installment",B293=1),Input!$J$58,IF(Input!$H$58="Monthly",Input!$J$58,IF(AND(Input!$H$58="End of the loan",B293=Input!$E$58),Input!$J$58,"")))),"")</f>
        <v/>
      </c>
      <c r="O293" s="6" t="str">
        <f t="shared" si="40"/>
        <v/>
      </c>
      <c r="P293" s="4" t="str">
        <f t="shared" si="41"/>
        <v/>
      </c>
      <c r="T293" s="9" t="str">
        <f t="shared" si="42"/>
        <v/>
      </c>
      <c r="U293" s="5" t="str">
        <f t="shared" si="43"/>
        <v xml:space="preserve"> </v>
      </c>
    </row>
    <row r="294" spans="2:21" x14ac:dyDescent="0.2">
      <c r="B294" s="181" t="str">
        <f t="shared" si="46"/>
        <v/>
      </c>
      <c r="C294" s="162" t="str">
        <f t="shared" si="47"/>
        <v/>
      </c>
      <c r="D294" s="6" t="str">
        <f>IFERROR((PPMT(Input!$E$55/12,B294,$C$6,Input!$E$54,-Input!$E$65,0))," ")</f>
        <v xml:space="preserve"> </v>
      </c>
      <c r="E294" s="6" t="str">
        <f>IFERROR(((IPMT(Input!$E$55/12,B294,$C$6,Input!$E$54,-Input!$E$65,0)))," ")</f>
        <v xml:space="preserve"> </v>
      </c>
      <c r="F294" s="6" t="str">
        <f t="shared" si="49"/>
        <v/>
      </c>
      <c r="G294" s="6" t="str">
        <f t="shared" si="48"/>
        <v/>
      </c>
      <c r="H294" s="6" t="str">
        <f t="shared" si="44"/>
        <v/>
      </c>
      <c r="I294" s="6" t="str">
        <f t="shared" si="45"/>
        <v/>
      </c>
      <c r="J294" s="6" t="str">
        <f>IF(B294&lt;&gt;"",IF(AND(Input!$H$54="Annual",MOD(B294,12)=0),Input!$J$54,IF(AND(Input!$H$54="1st Installment",B294=1),Input!$J$54,IF(Input!$H$54="Monthly",Input!$J$54,""))),"")</f>
        <v/>
      </c>
      <c r="K294" s="6" t="str">
        <f>IF(B294&lt;&gt;"",IF(AND(Input!$H$55="Annual",MOD(B294,12)=0),Input!$J$55,IF(AND(Input!$H$55="1st Installment",B294=1),Input!$J$55,IF(Input!$H$55="Monthly",Input!$J$55,""))),"")</f>
        <v/>
      </c>
      <c r="L294" s="6" t="str">
        <f>IF(B294&lt;&gt;"",IF(AND(Input!$H$56="Annual",MOD(B294,12)=0),Input!$J$56,IF(AND(Input!$H$56="1st Installment",B294=1),Input!$J$56,IF(Input!$H$56="Monthly",Input!$J$56,""))),"")</f>
        <v/>
      </c>
      <c r="M294" s="6" t="str">
        <f>IF(B294&lt;&gt;"",IF(AND(Input!$H$57="Annual",MOD(B294,12)=0),Input!$J$57,IF(AND(Input!$H$57="1st Installment",B294=1),Input!$J$57,IF(Input!$H$57="Monthly",Input!$J$57,""))),"")</f>
        <v/>
      </c>
      <c r="N294" s="6" t="str">
        <f>IF(B294&lt;&gt;"",IF(AND(Input!$H$58="Annual",MOD(B294,12)=0),Input!$J$58,IF(AND(Input!$H$58="1st Installment",B294=1),Input!$J$58,IF(Input!$H$58="Monthly",Input!$J$58,IF(AND(Input!$H$58="End of the loan",B294=Input!$E$58),Input!$J$58,"")))),"")</f>
        <v/>
      </c>
      <c r="O294" s="6" t="str">
        <f t="shared" si="40"/>
        <v/>
      </c>
      <c r="P294" s="4" t="str">
        <f t="shared" si="41"/>
        <v/>
      </c>
      <c r="T294" s="9" t="str">
        <f t="shared" si="42"/>
        <v/>
      </c>
      <c r="U294" s="5" t="str">
        <f t="shared" si="43"/>
        <v xml:space="preserve"> </v>
      </c>
    </row>
    <row r="295" spans="2:21" x14ac:dyDescent="0.2">
      <c r="B295" s="181" t="str">
        <f t="shared" si="46"/>
        <v/>
      </c>
      <c r="C295" s="162" t="str">
        <f t="shared" si="47"/>
        <v/>
      </c>
      <c r="D295" s="6" t="str">
        <f>IFERROR((PPMT(Input!$E$55/12,B295,$C$6,Input!$E$54,-Input!$E$65,0))," ")</f>
        <v xml:space="preserve"> </v>
      </c>
      <c r="E295" s="6" t="str">
        <f>IFERROR(((IPMT(Input!$E$55/12,B295,$C$6,Input!$E$54,-Input!$E$65,0)))," ")</f>
        <v xml:space="preserve"> </v>
      </c>
      <c r="F295" s="6" t="str">
        <f t="shared" si="49"/>
        <v/>
      </c>
      <c r="G295" s="6" t="str">
        <f t="shared" si="48"/>
        <v/>
      </c>
      <c r="H295" s="6" t="str">
        <f t="shared" si="44"/>
        <v/>
      </c>
      <c r="I295" s="6" t="str">
        <f t="shared" si="45"/>
        <v/>
      </c>
      <c r="J295" s="6" t="str">
        <f>IF(B295&lt;&gt;"",IF(AND(Input!$H$54="Annual",MOD(B295,12)=0),Input!$J$54,IF(AND(Input!$H$54="1st Installment",B295=1),Input!$J$54,IF(Input!$H$54="Monthly",Input!$J$54,""))),"")</f>
        <v/>
      </c>
      <c r="K295" s="6" t="str">
        <f>IF(B295&lt;&gt;"",IF(AND(Input!$H$55="Annual",MOD(B295,12)=0),Input!$J$55,IF(AND(Input!$H$55="1st Installment",B295=1),Input!$J$55,IF(Input!$H$55="Monthly",Input!$J$55,""))),"")</f>
        <v/>
      </c>
      <c r="L295" s="6" t="str">
        <f>IF(B295&lt;&gt;"",IF(AND(Input!$H$56="Annual",MOD(B295,12)=0),Input!$J$56,IF(AND(Input!$H$56="1st Installment",B295=1),Input!$J$56,IF(Input!$H$56="Monthly",Input!$J$56,""))),"")</f>
        <v/>
      </c>
      <c r="M295" s="6" t="str">
        <f>IF(B295&lt;&gt;"",IF(AND(Input!$H$57="Annual",MOD(B295,12)=0),Input!$J$57,IF(AND(Input!$H$57="1st Installment",B295=1),Input!$J$57,IF(Input!$H$57="Monthly",Input!$J$57,""))),"")</f>
        <v/>
      </c>
      <c r="N295" s="6" t="str">
        <f>IF(B295&lt;&gt;"",IF(AND(Input!$H$58="Annual",MOD(B295,12)=0),Input!$J$58,IF(AND(Input!$H$58="1st Installment",B295=1),Input!$J$58,IF(Input!$H$58="Monthly",Input!$J$58,IF(AND(Input!$H$58="End of the loan",B295=Input!$E$58),Input!$J$58,"")))),"")</f>
        <v/>
      </c>
      <c r="O295" s="6" t="str">
        <f t="shared" si="40"/>
        <v/>
      </c>
      <c r="P295" s="4" t="str">
        <f t="shared" si="41"/>
        <v/>
      </c>
      <c r="T295" s="9" t="str">
        <f t="shared" si="42"/>
        <v/>
      </c>
      <c r="U295" s="5" t="str">
        <f t="shared" si="43"/>
        <v xml:space="preserve"> </v>
      </c>
    </row>
    <row r="296" spans="2:21" x14ac:dyDescent="0.2">
      <c r="B296" s="181" t="str">
        <f t="shared" si="46"/>
        <v/>
      </c>
      <c r="C296" s="162" t="str">
        <f t="shared" si="47"/>
        <v/>
      </c>
      <c r="D296" s="6" t="str">
        <f>IFERROR((PPMT(Input!$E$55/12,B296,$C$6,Input!$E$54,-Input!$E$65,0))," ")</f>
        <v xml:space="preserve"> </v>
      </c>
      <c r="E296" s="6" t="str">
        <f>IFERROR(((IPMT(Input!$E$55/12,B296,$C$6,Input!$E$54,-Input!$E$65,0)))," ")</f>
        <v xml:space="preserve"> </v>
      </c>
      <c r="F296" s="6" t="str">
        <f t="shared" si="49"/>
        <v/>
      </c>
      <c r="G296" s="6" t="str">
        <f t="shared" si="48"/>
        <v/>
      </c>
      <c r="H296" s="6" t="str">
        <f t="shared" si="44"/>
        <v/>
      </c>
      <c r="I296" s="6" t="str">
        <f t="shared" si="45"/>
        <v/>
      </c>
      <c r="J296" s="6" t="str">
        <f>IF(B296&lt;&gt;"",IF(AND(Input!$H$54="Annual",MOD(B296,12)=0),Input!$J$54,IF(AND(Input!$H$54="1st Installment",B296=1),Input!$J$54,IF(Input!$H$54="Monthly",Input!$J$54,""))),"")</f>
        <v/>
      </c>
      <c r="K296" s="6" t="str">
        <f>IF(B296&lt;&gt;"",IF(AND(Input!$H$55="Annual",MOD(B296,12)=0),Input!$J$55,IF(AND(Input!$H$55="1st Installment",B296=1),Input!$J$55,IF(Input!$H$55="Monthly",Input!$J$55,""))),"")</f>
        <v/>
      </c>
      <c r="L296" s="6" t="str">
        <f>IF(B296&lt;&gt;"",IF(AND(Input!$H$56="Annual",MOD(B296,12)=0),Input!$J$56,IF(AND(Input!$H$56="1st Installment",B296=1),Input!$J$56,IF(Input!$H$56="Monthly",Input!$J$56,""))),"")</f>
        <v/>
      </c>
      <c r="M296" s="6" t="str">
        <f>IF(B296&lt;&gt;"",IF(AND(Input!$H$57="Annual",MOD(B296,12)=0),Input!$J$57,IF(AND(Input!$H$57="1st Installment",B296=1),Input!$J$57,IF(Input!$H$57="Monthly",Input!$J$57,""))),"")</f>
        <v/>
      </c>
      <c r="N296" s="6" t="str">
        <f>IF(B296&lt;&gt;"",IF(AND(Input!$H$58="Annual",MOD(B296,12)=0),Input!$J$58,IF(AND(Input!$H$58="1st Installment",B296=1),Input!$J$58,IF(Input!$H$58="Monthly",Input!$J$58,IF(AND(Input!$H$58="End of the loan",B296=Input!$E$58),Input!$J$58,"")))),"")</f>
        <v/>
      </c>
      <c r="O296" s="6" t="str">
        <f t="shared" si="40"/>
        <v/>
      </c>
      <c r="P296" s="4" t="str">
        <f t="shared" si="41"/>
        <v/>
      </c>
      <c r="T296" s="9" t="str">
        <f t="shared" si="42"/>
        <v/>
      </c>
      <c r="U296" s="5" t="str">
        <f t="shared" si="43"/>
        <v xml:space="preserve"> </v>
      </c>
    </row>
    <row r="297" spans="2:21" x14ac:dyDescent="0.2">
      <c r="B297" s="181" t="str">
        <f t="shared" si="46"/>
        <v/>
      </c>
      <c r="C297" s="162" t="str">
        <f t="shared" si="47"/>
        <v/>
      </c>
      <c r="D297" s="6" t="str">
        <f>IFERROR((PPMT(Input!$E$55/12,B297,$C$6,Input!$E$54,-Input!$E$65,0))," ")</f>
        <v xml:space="preserve"> </v>
      </c>
      <c r="E297" s="6" t="str">
        <f>IFERROR(((IPMT(Input!$E$55/12,B297,$C$6,Input!$E$54,-Input!$E$65,0)))," ")</f>
        <v xml:space="preserve"> </v>
      </c>
      <c r="F297" s="6" t="str">
        <f t="shared" si="49"/>
        <v/>
      </c>
      <c r="G297" s="6" t="str">
        <f t="shared" si="48"/>
        <v/>
      </c>
      <c r="H297" s="6" t="str">
        <f t="shared" si="44"/>
        <v/>
      </c>
      <c r="I297" s="6" t="str">
        <f t="shared" si="45"/>
        <v/>
      </c>
      <c r="J297" s="6" t="str">
        <f>IF(B297&lt;&gt;"",IF(AND(Input!$H$54="Annual",MOD(B297,12)=0),Input!$J$54,IF(AND(Input!$H$54="1st Installment",B297=1),Input!$J$54,IF(Input!$H$54="Monthly",Input!$J$54,""))),"")</f>
        <v/>
      </c>
      <c r="K297" s="6" t="str">
        <f>IF(B297&lt;&gt;"",IF(AND(Input!$H$55="Annual",MOD(B297,12)=0),Input!$J$55,IF(AND(Input!$H$55="1st Installment",B297=1),Input!$J$55,IF(Input!$H$55="Monthly",Input!$J$55,""))),"")</f>
        <v/>
      </c>
      <c r="L297" s="6" t="str">
        <f>IF(B297&lt;&gt;"",IF(AND(Input!$H$56="Annual",MOD(B297,12)=0),Input!$J$56,IF(AND(Input!$H$56="1st Installment",B297=1),Input!$J$56,IF(Input!$H$56="Monthly",Input!$J$56,""))),"")</f>
        <v/>
      </c>
      <c r="M297" s="6" t="str">
        <f>IF(B297&lt;&gt;"",IF(AND(Input!$H$57="Annual",MOD(B297,12)=0),Input!$J$57,IF(AND(Input!$H$57="1st Installment",B297=1),Input!$J$57,IF(Input!$H$57="Monthly",Input!$J$57,""))),"")</f>
        <v/>
      </c>
      <c r="N297" s="6" t="str">
        <f>IF(B297&lt;&gt;"",IF(AND(Input!$H$58="Annual",MOD(B297,12)=0),Input!$J$58,IF(AND(Input!$H$58="1st Installment",B297=1),Input!$J$58,IF(Input!$H$58="Monthly",Input!$J$58,IF(AND(Input!$H$58="End of the loan",B297=Input!$E$58),Input!$J$58,"")))),"")</f>
        <v/>
      </c>
      <c r="O297" s="6" t="str">
        <f t="shared" si="40"/>
        <v/>
      </c>
      <c r="P297" s="4" t="str">
        <f t="shared" si="41"/>
        <v/>
      </c>
      <c r="T297" s="9" t="str">
        <f t="shared" si="42"/>
        <v/>
      </c>
      <c r="U297" s="5" t="str">
        <f t="shared" si="43"/>
        <v xml:space="preserve"> </v>
      </c>
    </row>
    <row r="298" spans="2:21" x14ac:dyDescent="0.2">
      <c r="B298" s="181" t="str">
        <f t="shared" si="46"/>
        <v/>
      </c>
      <c r="C298" s="162" t="str">
        <f t="shared" si="47"/>
        <v/>
      </c>
      <c r="D298" s="6" t="str">
        <f>IFERROR((PPMT(Input!$E$55/12,B298,$C$6,Input!$E$54,-Input!$E$65,0))," ")</f>
        <v xml:space="preserve"> </v>
      </c>
      <c r="E298" s="6" t="str">
        <f>IFERROR(((IPMT(Input!$E$55/12,B298,$C$6,Input!$E$54,-Input!$E$65,0)))," ")</f>
        <v xml:space="preserve"> </v>
      </c>
      <c r="F298" s="6" t="str">
        <f t="shared" si="49"/>
        <v/>
      </c>
      <c r="G298" s="6" t="str">
        <f t="shared" si="48"/>
        <v/>
      </c>
      <c r="H298" s="6" t="str">
        <f t="shared" si="44"/>
        <v/>
      </c>
      <c r="I298" s="6" t="str">
        <f t="shared" si="45"/>
        <v/>
      </c>
      <c r="J298" s="6" t="str">
        <f>IF(B298&lt;&gt;"",IF(AND(Input!$H$54="Annual",MOD(B298,12)=0),Input!$J$54,IF(AND(Input!$H$54="1st Installment",B298=1),Input!$J$54,IF(Input!$H$54="Monthly",Input!$J$54,""))),"")</f>
        <v/>
      </c>
      <c r="K298" s="6" t="str">
        <f>IF(B298&lt;&gt;"",IF(AND(Input!$H$55="Annual",MOD(B298,12)=0),Input!$J$55,IF(AND(Input!$H$55="1st Installment",B298=1),Input!$J$55,IF(Input!$H$55="Monthly",Input!$J$55,""))),"")</f>
        <v/>
      </c>
      <c r="L298" s="6" t="str">
        <f>IF(B298&lt;&gt;"",IF(AND(Input!$H$56="Annual",MOD(B298,12)=0),Input!$J$56,IF(AND(Input!$H$56="1st Installment",B298=1),Input!$J$56,IF(Input!$H$56="Monthly",Input!$J$56,""))),"")</f>
        <v/>
      </c>
      <c r="M298" s="6" t="str">
        <f>IF(B298&lt;&gt;"",IF(AND(Input!$H$57="Annual",MOD(B298,12)=0),Input!$J$57,IF(AND(Input!$H$57="1st Installment",B298=1),Input!$J$57,IF(Input!$H$57="Monthly",Input!$J$57,""))),"")</f>
        <v/>
      </c>
      <c r="N298" s="6" t="str">
        <f>IF(B298&lt;&gt;"",IF(AND(Input!$H$58="Annual",MOD(B298,12)=0),Input!$J$58,IF(AND(Input!$H$58="1st Installment",B298=1),Input!$J$58,IF(Input!$H$58="Monthly",Input!$J$58,IF(AND(Input!$H$58="End of the loan",B298=Input!$E$58),Input!$J$58,"")))),"")</f>
        <v/>
      </c>
      <c r="O298" s="6" t="str">
        <f t="shared" si="40"/>
        <v/>
      </c>
      <c r="P298" s="4" t="str">
        <f t="shared" si="41"/>
        <v/>
      </c>
      <c r="T298" s="9" t="str">
        <f t="shared" si="42"/>
        <v/>
      </c>
      <c r="U298" s="5" t="str">
        <f t="shared" si="43"/>
        <v xml:space="preserve"> </v>
      </c>
    </row>
    <row r="299" spans="2:21" x14ac:dyDescent="0.2">
      <c r="B299" s="181" t="str">
        <f t="shared" si="46"/>
        <v/>
      </c>
      <c r="C299" s="162" t="str">
        <f t="shared" si="47"/>
        <v/>
      </c>
      <c r="D299" s="6" t="str">
        <f>IFERROR((PPMT(Input!$E$55/12,B299,$C$6,Input!$E$54,-Input!$E$65,0))," ")</f>
        <v xml:space="preserve"> </v>
      </c>
      <c r="E299" s="6" t="str">
        <f>IFERROR(((IPMT(Input!$E$55/12,B299,$C$6,Input!$E$54,-Input!$E$65,0)))," ")</f>
        <v xml:space="preserve"> </v>
      </c>
      <c r="F299" s="6" t="str">
        <f t="shared" si="49"/>
        <v/>
      </c>
      <c r="G299" s="6" t="str">
        <f t="shared" si="48"/>
        <v/>
      </c>
      <c r="H299" s="6" t="str">
        <f t="shared" si="44"/>
        <v/>
      </c>
      <c r="I299" s="6" t="str">
        <f t="shared" si="45"/>
        <v/>
      </c>
      <c r="J299" s="6" t="str">
        <f>IF(B299&lt;&gt;"",IF(AND(Input!$H$54="Annual",MOD(B299,12)=0),Input!$J$54,IF(AND(Input!$H$54="1st Installment",B299=1),Input!$J$54,IF(Input!$H$54="Monthly",Input!$J$54,""))),"")</f>
        <v/>
      </c>
      <c r="K299" s="6" t="str">
        <f>IF(B299&lt;&gt;"",IF(AND(Input!$H$55="Annual",MOD(B299,12)=0),Input!$J$55,IF(AND(Input!$H$55="1st Installment",B299=1),Input!$J$55,IF(Input!$H$55="Monthly",Input!$J$55,""))),"")</f>
        <v/>
      </c>
      <c r="L299" s="6" t="str">
        <f>IF(B299&lt;&gt;"",IF(AND(Input!$H$56="Annual",MOD(B299,12)=0),Input!$J$56,IF(AND(Input!$H$56="1st Installment",B299=1),Input!$J$56,IF(Input!$H$56="Monthly",Input!$J$56,""))),"")</f>
        <v/>
      </c>
      <c r="M299" s="6" t="str">
        <f>IF(B299&lt;&gt;"",IF(AND(Input!$H$57="Annual",MOD(B299,12)=0),Input!$J$57,IF(AND(Input!$H$57="1st Installment",B299=1),Input!$J$57,IF(Input!$H$57="Monthly",Input!$J$57,""))),"")</f>
        <v/>
      </c>
      <c r="N299" s="6" t="str">
        <f>IF(B299&lt;&gt;"",IF(AND(Input!$H$58="Annual",MOD(B299,12)=0),Input!$J$58,IF(AND(Input!$H$58="1st Installment",B299=1),Input!$J$58,IF(Input!$H$58="Monthly",Input!$J$58,IF(AND(Input!$H$58="End of the loan",B299=Input!$E$58),Input!$J$58,"")))),"")</f>
        <v/>
      </c>
      <c r="O299" s="6" t="str">
        <f t="shared" si="40"/>
        <v/>
      </c>
      <c r="P299" s="4" t="str">
        <f t="shared" si="41"/>
        <v/>
      </c>
      <c r="T299" s="9" t="str">
        <f t="shared" si="42"/>
        <v/>
      </c>
      <c r="U299" s="5" t="str">
        <f t="shared" si="43"/>
        <v xml:space="preserve"> </v>
      </c>
    </row>
    <row r="300" spans="2:21" x14ac:dyDescent="0.2">
      <c r="B300" s="181" t="str">
        <f t="shared" si="46"/>
        <v/>
      </c>
      <c r="C300" s="162" t="str">
        <f t="shared" si="47"/>
        <v/>
      </c>
      <c r="D300" s="6" t="str">
        <f>IFERROR((PPMT(Input!$E$55/12,B300,$C$6,Input!$E$54,-Input!$E$65,0))," ")</f>
        <v xml:space="preserve"> </v>
      </c>
      <c r="E300" s="6" t="str">
        <f>IFERROR(((IPMT(Input!$E$55/12,B300,$C$6,Input!$E$54,-Input!$E$65,0)))," ")</f>
        <v xml:space="preserve"> </v>
      </c>
      <c r="F300" s="6" t="str">
        <f t="shared" si="49"/>
        <v/>
      </c>
      <c r="G300" s="6" t="str">
        <f t="shared" si="48"/>
        <v/>
      </c>
      <c r="H300" s="6" t="str">
        <f t="shared" si="44"/>
        <v/>
      </c>
      <c r="I300" s="6" t="str">
        <f t="shared" si="45"/>
        <v/>
      </c>
      <c r="J300" s="6" t="str">
        <f>IF(B300&lt;&gt;"",IF(AND(Input!$H$54="Annual",MOD(B300,12)=0),Input!$J$54,IF(AND(Input!$H$54="1st Installment",B300=1),Input!$J$54,IF(Input!$H$54="Monthly",Input!$J$54,""))),"")</f>
        <v/>
      </c>
      <c r="K300" s="6" t="str">
        <f>IF(B300&lt;&gt;"",IF(AND(Input!$H$55="Annual",MOD(B300,12)=0),Input!$J$55,IF(AND(Input!$H$55="1st Installment",B300=1),Input!$J$55,IF(Input!$H$55="Monthly",Input!$J$55,""))),"")</f>
        <v/>
      </c>
      <c r="L300" s="6" t="str">
        <f>IF(B300&lt;&gt;"",IF(AND(Input!$H$56="Annual",MOD(B300,12)=0),Input!$J$56,IF(AND(Input!$H$56="1st Installment",B300=1),Input!$J$56,IF(Input!$H$56="Monthly",Input!$J$56,""))),"")</f>
        <v/>
      </c>
      <c r="M300" s="6" t="str">
        <f>IF(B300&lt;&gt;"",IF(AND(Input!$H$57="Annual",MOD(B300,12)=0),Input!$J$57,IF(AND(Input!$H$57="1st Installment",B300=1),Input!$J$57,IF(Input!$H$57="Monthly",Input!$J$57,""))),"")</f>
        <v/>
      </c>
      <c r="N300" s="6" t="str">
        <f>IF(B300&lt;&gt;"",IF(AND(Input!$H$58="Annual",MOD(B300,12)=0),Input!$J$58,IF(AND(Input!$H$58="1st Installment",B300=1),Input!$J$58,IF(Input!$H$58="Monthly",Input!$J$58,IF(AND(Input!$H$58="End of the loan",B300=Input!$E$58),Input!$J$58,"")))),"")</f>
        <v/>
      </c>
      <c r="O300" s="6" t="str">
        <f t="shared" si="40"/>
        <v/>
      </c>
      <c r="P300" s="4" t="str">
        <f t="shared" si="41"/>
        <v/>
      </c>
      <c r="T300" s="9" t="str">
        <f t="shared" si="42"/>
        <v/>
      </c>
      <c r="U300" s="5" t="str">
        <f t="shared" si="43"/>
        <v xml:space="preserve"> </v>
      </c>
    </row>
    <row r="301" spans="2:21" x14ac:dyDescent="0.2">
      <c r="B301" s="181" t="str">
        <f t="shared" si="46"/>
        <v/>
      </c>
      <c r="C301" s="162" t="str">
        <f t="shared" si="47"/>
        <v/>
      </c>
      <c r="D301" s="6" t="str">
        <f>IFERROR((PPMT(Input!$E$55/12,B301,$C$6,Input!$E$54,-Input!$E$65,0))," ")</f>
        <v xml:space="preserve"> </v>
      </c>
      <c r="E301" s="6" t="str">
        <f>IFERROR(((IPMT(Input!$E$55/12,B301,$C$6,Input!$E$54,-Input!$E$65,0)))," ")</f>
        <v xml:space="preserve"> </v>
      </c>
      <c r="F301" s="6" t="str">
        <f t="shared" si="49"/>
        <v/>
      </c>
      <c r="G301" s="6" t="str">
        <f t="shared" si="48"/>
        <v/>
      </c>
      <c r="H301" s="6" t="str">
        <f t="shared" si="44"/>
        <v/>
      </c>
      <c r="I301" s="6" t="str">
        <f t="shared" si="45"/>
        <v/>
      </c>
      <c r="J301" s="6" t="str">
        <f>IF(B301&lt;&gt;"",IF(AND(Input!$H$54="Annual",MOD(B301,12)=0),Input!$J$54,IF(AND(Input!$H$54="1st Installment",B301=1),Input!$J$54,IF(Input!$H$54="Monthly",Input!$J$54,""))),"")</f>
        <v/>
      </c>
      <c r="K301" s="6" t="str">
        <f>IF(B301&lt;&gt;"",IF(AND(Input!$H$55="Annual",MOD(B301,12)=0),Input!$J$55,IF(AND(Input!$H$55="1st Installment",B301=1),Input!$J$55,IF(Input!$H$55="Monthly",Input!$J$55,""))),"")</f>
        <v/>
      </c>
      <c r="L301" s="6" t="str">
        <f>IF(B301&lt;&gt;"",IF(AND(Input!$H$56="Annual",MOD(B301,12)=0),Input!$J$56,IF(AND(Input!$H$56="1st Installment",B301=1),Input!$J$56,IF(Input!$H$56="Monthly",Input!$J$56,""))),"")</f>
        <v/>
      </c>
      <c r="M301" s="6" t="str">
        <f>IF(B301&lt;&gt;"",IF(AND(Input!$H$57="Annual",MOD(B301,12)=0),Input!$J$57,IF(AND(Input!$H$57="1st Installment",B301=1),Input!$J$57,IF(Input!$H$57="Monthly",Input!$J$57,""))),"")</f>
        <v/>
      </c>
      <c r="N301" s="6" t="str">
        <f>IF(B301&lt;&gt;"",IF(AND(Input!$H$58="Annual",MOD(B301,12)=0),Input!$J$58,IF(AND(Input!$H$58="1st Installment",B301=1),Input!$J$58,IF(Input!$H$58="Monthly",Input!$J$58,IF(AND(Input!$H$58="End of the loan",B301=Input!$E$58),Input!$J$58,"")))),"")</f>
        <v/>
      </c>
      <c r="O301" s="6" t="str">
        <f t="shared" si="40"/>
        <v/>
      </c>
      <c r="P301" s="4" t="str">
        <f t="shared" si="41"/>
        <v/>
      </c>
      <c r="T301" s="9" t="str">
        <f t="shared" si="42"/>
        <v/>
      </c>
      <c r="U301" s="5" t="str">
        <f t="shared" si="43"/>
        <v xml:space="preserve"> </v>
      </c>
    </row>
    <row r="302" spans="2:21" x14ac:dyDescent="0.2">
      <c r="B302" s="181" t="str">
        <f t="shared" si="46"/>
        <v/>
      </c>
      <c r="C302" s="162" t="str">
        <f t="shared" si="47"/>
        <v/>
      </c>
      <c r="D302" s="6" t="str">
        <f>IFERROR((PPMT(Input!$E$55/12,B302,$C$6,Input!$E$54,-Input!$E$65,0))," ")</f>
        <v xml:space="preserve"> </v>
      </c>
      <c r="E302" s="6" t="str">
        <f>IFERROR(((IPMT(Input!$E$55/12,B302,$C$6,Input!$E$54,-Input!$E$65,0)))," ")</f>
        <v xml:space="preserve"> </v>
      </c>
      <c r="F302" s="6" t="str">
        <f t="shared" si="49"/>
        <v/>
      </c>
      <c r="G302" s="6" t="str">
        <f t="shared" si="48"/>
        <v/>
      </c>
      <c r="H302" s="6" t="str">
        <f t="shared" si="44"/>
        <v/>
      </c>
      <c r="I302" s="6" t="str">
        <f t="shared" si="45"/>
        <v/>
      </c>
      <c r="J302" s="6" t="str">
        <f>IF(B302&lt;&gt;"",IF(AND(Input!$H$54="Annual",MOD(B302,12)=0),Input!$J$54,IF(AND(Input!$H$54="1st Installment",B302=1),Input!$J$54,IF(Input!$H$54="Monthly",Input!$J$54,""))),"")</f>
        <v/>
      </c>
      <c r="K302" s="6" t="str">
        <f>IF(B302&lt;&gt;"",IF(AND(Input!$H$55="Annual",MOD(B302,12)=0),Input!$J$55,IF(AND(Input!$H$55="1st Installment",B302=1),Input!$J$55,IF(Input!$H$55="Monthly",Input!$J$55,""))),"")</f>
        <v/>
      </c>
      <c r="L302" s="6" t="str">
        <f>IF(B302&lt;&gt;"",IF(AND(Input!$H$56="Annual",MOD(B302,12)=0),Input!$J$56,IF(AND(Input!$H$56="1st Installment",B302=1),Input!$J$56,IF(Input!$H$56="Monthly",Input!$J$56,""))),"")</f>
        <v/>
      </c>
      <c r="M302" s="6" t="str">
        <f>IF(B302&lt;&gt;"",IF(AND(Input!$H$57="Annual",MOD(B302,12)=0),Input!$J$57,IF(AND(Input!$H$57="1st Installment",B302=1),Input!$J$57,IF(Input!$H$57="Monthly",Input!$J$57,""))),"")</f>
        <v/>
      </c>
      <c r="N302" s="6" t="str">
        <f>IF(B302&lt;&gt;"",IF(AND(Input!$H$58="Annual",MOD(B302,12)=0),Input!$J$58,IF(AND(Input!$H$58="1st Installment",B302=1),Input!$J$58,IF(Input!$H$58="Monthly",Input!$J$58,IF(AND(Input!$H$58="End of the loan",B302=Input!$E$58),Input!$J$58,"")))),"")</f>
        <v/>
      </c>
      <c r="O302" s="6" t="str">
        <f t="shared" si="40"/>
        <v/>
      </c>
      <c r="P302" s="4" t="str">
        <f t="shared" si="41"/>
        <v/>
      </c>
      <c r="T302" s="9" t="str">
        <f t="shared" si="42"/>
        <v/>
      </c>
      <c r="U302" s="5" t="str">
        <f t="shared" si="43"/>
        <v xml:space="preserve"> </v>
      </c>
    </row>
    <row r="303" spans="2:21" x14ac:dyDescent="0.2">
      <c r="B303" s="181" t="str">
        <f t="shared" si="46"/>
        <v/>
      </c>
      <c r="C303" s="162" t="str">
        <f t="shared" si="47"/>
        <v/>
      </c>
      <c r="D303" s="6" t="str">
        <f>IFERROR((PPMT(Input!$E$55/12,B303,$C$6,Input!$E$54,-Input!$E$65,0))," ")</f>
        <v xml:space="preserve"> </v>
      </c>
      <c r="E303" s="6" t="str">
        <f>IFERROR(((IPMT(Input!$E$55/12,B303,$C$6,Input!$E$54,-Input!$E$65,0)))," ")</f>
        <v xml:space="preserve"> </v>
      </c>
      <c r="F303" s="6" t="str">
        <f t="shared" si="49"/>
        <v/>
      </c>
      <c r="G303" s="6" t="str">
        <f t="shared" si="48"/>
        <v/>
      </c>
      <c r="H303" s="6" t="str">
        <f t="shared" si="44"/>
        <v/>
      </c>
      <c r="I303" s="6" t="str">
        <f t="shared" si="45"/>
        <v/>
      </c>
      <c r="J303" s="6" t="str">
        <f>IF(B303&lt;&gt;"",IF(AND(Input!$H$54="Annual",MOD(B303,12)=0),Input!$J$54,IF(AND(Input!$H$54="1st Installment",B303=1),Input!$J$54,IF(Input!$H$54="Monthly",Input!$J$54,""))),"")</f>
        <v/>
      </c>
      <c r="K303" s="6" t="str">
        <f>IF(B303&lt;&gt;"",IF(AND(Input!$H$55="Annual",MOD(B303,12)=0),Input!$J$55,IF(AND(Input!$H$55="1st Installment",B303=1),Input!$J$55,IF(Input!$H$55="Monthly",Input!$J$55,""))),"")</f>
        <v/>
      </c>
      <c r="L303" s="6" t="str">
        <f>IF(B303&lt;&gt;"",IF(AND(Input!$H$56="Annual",MOD(B303,12)=0),Input!$J$56,IF(AND(Input!$H$56="1st Installment",B303=1),Input!$J$56,IF(Input!$H$56="Monthly",Input!$J$56,""))),"")</f>
        <v/>
      </c>
      <c r="M303" s="6" t="str">
        <f>IF(B303&lt;&gt;"",IF(AND(Input!$H$57="Annual",MOD(B303,12)=0),Input!$J$57,IF(AND(Input!$H$57="1st Installment",B303=1),Input!$J$57,IF(Input!$H$57="Monthly",Input!$J$57,""))),"")</f>
        <v/>
      </c>
      <c r="N303" s="6" t="str">
        <f>IF(B303&lt;&gt;"",IF(AND(Input!$H$58="Annual",MOD(B303,12)=0),Input!$J$58,IF(AND(Input!$H$58="1st Installment",B303=1),Input!$J$58,IF(Input!$H$58="Monthly",Input!$J$58,IF(AND(Input!$H$58="End of the loan",B303=Input!$E$58),Input!$J$58,"")))),"")</f>
        <v/>
      </c>
      <c r="O303" s="6" t="str">
        <f t="shared" si="40"/>
        <v/>
      </c>
      <c r="P303" s="4" t="str">
        <f t="shared" si="41"/>
        <v/>
      </c>
      <c r="T303" s="9" t="str">
        <f t="shared" si="42"/>
        <v/>
      </c>
      <c r="U303" s="5" t="str">
        <f t="shared" si="43"/>
        <v xml:space="preserve"> </v>
      </c>
    </row>
    <row r="304" spans="2:21" x14ac:dyDescent="0.2">
      <c r="B304" s="181" t="str">
        <f t="shared" si="46"/>
        <v/>
      </c>
      <c r="C304" s="162" t="str">
        <f t="shared" si="47"/>
        <v/>
      </c>
      <c r="D304" s="6" t="str">
        <f>IFERROR((PPMT(Input!$E$55/12,B304,$C$6,Input!$E$54,-Input!$E$65,0))," ")</f>
        <v xml:space="preserve"> </v>
      </c>
      <c r="E304" s="6" t="str">
        <f>IFERROR(((IPMT(Input!$E$55/12,B304,$C$6,Input!$E$54,-Input!$E$65,0)))," ")</f>
        <v xml:space="preserve"> </v>
      </c>
      <c r="F304" s="6" t="str">
        <f t="shared" si="49"/>
        <v/>
      </c>
      <c r="G304" s="6" t="str">
        <f t="shared" si="48"/>
        <v/>
      </c>
      <c r="H304" s="6" t="str">
        <f t="shared" si="44"/>
        <v/>
      </c>
      <c r="I304" s="6" t="str">
        <f t="shared" si="45"/>
        <v/>
      </c>
      <c r="J304" s="6" t="str">
        <f>IF(B304&lt;&gt;"",IF(AND(Input!$H$54="Annual",MOD(B304,12)=0),Input!$J$54,IF(AND(Input!$H$54="1st Installment",B304=1),Input!$J$54,IF(Input!$H$54="Monthly",Input!$J$54,""))),"")</f>
        <v/>
      </c>
      <c r="K304" s="6" t="str">
        <f>IF(B304&lt;&gt;"",IF(AND(Input!$H$55="Annual",MOD(B304,12)=0),Input!$J$55,IF(AND(Input!$H$55="1st Installment",B304=1),Input!$J$55,IF(Input!$H$55="Monthly",Input!$J$55,""))),"")</f>
        <v/>
      </c>
      <c r="L304" s="6" t="str">
        <f>IF(B304&lt;&gt;"",IF(AND(Input!$H$56="Annual",MOD(B304,12)=0),Input!$J$56,IF(AND(Input!$H$56="1st Installment",B304=1),Input!$J$56,IF(Input!$H$56="Monthly",Input!$J$56,""))),"")</f>
        <v/>
      </c>
      <c r="M304" s="6" t="str">
        <f>IF(B304&lt;&gt;"",IF(AND(Input!$H$57="Annual",MOD(B304,12)=0),Input!$J$57,IF(AND(Input!$H$57="1st Installment",B304=1),Input!$J$57,IF(Input!$H$57="Monthly",Input!$J$57,""))),"")</f>
        <v/>
      </c>
      <c r="N304" s="6" t="str">
        <f>IF(B304&lt;&gt;"",IF(AND(Input!$H$58="Annual",MOD(B304,12)=0),Input!$J$58,IF(AND(Input!$H$58="1st Installment",B304=1),Input!$J$58,IF(Input!$H$58="Monthly",Input!$J$58,IF(AND(Input!$H$58="End of the loan",B304=Input!$E$58),Input!$J$58,"")))),"")</f>
        <v/>
      </c>
      <c r="O304" s="6" t="str">
        <f t="shared" si="40"/>
        <v/>
      </c>
      <c r="P304" s="4" t="str">
        <f t="shared" si="41"/>
        <v/>
      </c>
      <c r="T304" s="9" t="str">
        <f t="shared" si="42"/>
        <v/>
      </c>
      <c r="U304" s="5" t="str">
        <f t="shared" si="43"/>
        <v xml:space="preserve"> </v>
      </c>
    </row>
    <row r="305" spans="2:22" x14ac:dyDescent="0.2">
      <c r="B305" s="181" t="str">
        <f t="shared" si="46"/>
        <v/>
      </c>
      <c r="C305" s="162" t="str">
        <f t="shared" si="47"/>
        <v/>
      </c>
      <c r="D305" s="6" t="str">
        <f>IFERROR((PPMT(Input!$E$55/12,B305,$C$6,Input!$E$54,-Input!$E$65,0))," ")</f>
        <v xml:space="preserve"> </v>
      </c>
      <c r="E305" s="6" t="str">
        <f>IFERROR(((IPMT(Input!$E$55/12,B305,$C$6,Input!$E$54,-Input!$E$65,0)))," ")</f>
        <v xml:space="preserve"> </v>
      </c>
      <c r="F305" s="6" t="str">
        <f t="shared" si="49"/>
        <v/>
      </c>
      <c r="G305" s="6" t="str">
        <f t="shared" si="48"/>
        <v/>
      </c>
      <c r="H305" s="6" t="str">
        <f t="shared" si="44"/>
        <v/>
      </c>
      <c r="I305" s="6" t="str">
        <f t="shared" si="45"/>
        <v/>
      </c>
      <c r="J305" s="6" t="str">
        <f>IF(B305&lt;&gt;"",IF(AND(Input!$H$54="Annual",MOD(B305,12)=0),Input!$J$54,IF(AND(Input!$H$54="1st Installment",B305=1),Input!$J$54,IF(Input!$H$54="Monthly",Input!$J$54,""))),"")</f>
        <v/>
      </c>
      <c r="K305" s="6" t="str">
        <f>IF(B305&lt;&gt;"",IF(AND(Input!$H$55="Annual",MOD(B305,12)=0),Input!$J$55,IF(AND(Input!$H$55="1st Installment",B305=1),Input!$J$55,IF(Input!$H$55="Monthly",Input!$J$55,""))),"")</f>
        <v/>
      </c>
      <c r="L305" s="6" t="str">
        <f>IF(B305&lt;&gt;"",IF(AND(Input!$H$56="Annual",MOD(B305,12)=0),Input!$J$56,IF(AND(Input!$H$56="1st Installment",B305=1),Input!$J$56,IF(Input!$H$56="Monthly",Input!$J$56,""))),"")</f>
        <v/>
      </c>
      <c r="M305" s="6" t="str">
        <f>IF(B305&lt;&gt;"",IF(AND(Input!$H$57="Annual",MOD(B305,12)=0),Input!$J$57,IF(AND(Input!$H$57="1st Installment",B305=1),Input!$J$57,IF(Input!$H$57="Monthly",Input!$J$57,""))),"")</f>
        <v/>
      </c>
      <c r="N305" s="6" t="str">
        <f>IF(B305&lt;&gt;"",IF(AND(Input!$H$58="Annual",MOD(B305,12)=0),Input!$J$58,IF(AND(Input!$H$58="1st Installment",B305=1),Input!$J$58,IF(Input!$H$58="Monthly",Input!$J$58,IF(AND(Input!$H$58="End of the loan",B305=Input!$E$58),Input!$J$58,"")))),"")</f>
        <v/>
      </c>
      <c r="O305" s="6" t="str">
        <f t="shared" si="40"/>
        <v/>
      </c>
      <c r="P305" s="4" t="str">
        <f t="shared" si="41"/>
        <v/>
      </c>
      <c r="T305" s="9" t="str">
        <f t="shared" si="42"/>
        <v/>
      </c>
      <c r="U305" s="5" t="str">
        <f t="shared" si="43"/>
        <v xml:space="preserve"> </v>
      </c>
    </row>
    <row r="306" spans="2:22" x14ac:dyDescent="0.2">
      <c r="B306" s="181" t="str">
        <f t="shared" si="46"/>
        <v/>
      </c>
      <c r="C306" s="162" t="str">
        <f t="shared" si="47"/>
        <v/>
      </c>
      <c r="D306" s="6" t="str">
        <f>IFERROR((PPMT(Input!$E$55/12,B306,$C$6,Input!$E$54,-Input!$E$65,0))," ")</f>
        <v xml:space="preserve"> </v>
      </c>
      <c r="E306" s="6" t="str">
        <f>IFERROR(((IPMT(Input!$E$55/12,B306,$C$6,Input!$E$54,-Input!$E$65,0)))," ")</f>
        <v xml:space="preserve"> </v>
      </c>
      <c r="F306" s="6" t="str">
        <f t="shared" si="49"/>
        <v/>
      </c>
      <c r="G306" s="6" t="str">
        <f t="shared" si="48"/>
        <v/>
      </c>
      <c r="H306" s="6" t="str">
        <f t="shared" si="44"/>
        <v/>
      </c>
      <c r="I306" s="6" t="str">
        <f t="shared" si="45"/>
        <v/>
      </c>
      <c r="J306" s="6" t="str">
        <f>IF(B306&lt;&gt;"",IF(AND(Input!$H$54="Annual",MOD(B306,12)=0),Input!$J$54,IF(AND(Input!$H$54="1st Installment",B306=1),Input!$J$54,IF(Input!$H$54="Monthly",Input!$J$54,""))),"")</f>
        <v/>
      </c>
      <c r="K306" s="6" t="str">
        <f>IF(B306&lt;&gt;"",IF(AND(Input!$H$55="Annual",MOD(B306,12)=0),Input!$J$55,IF(AND(Input!$H$55="1st Installment",B306=1),Input!$J$55,IF(Input!$H$55="Monthly",Input!$J$55,""))),"")</f>
        <v/>
      </c>
      <c r="L306" s="6" t="str">
        <f>IF(B306&lt;&gt;"",IF(AND(Input!$H$56="Annual",MOD(B306,12)=0),Input!$J$56,IF(AND(Input!$H$56="1st Installment",B306=1),Input!$J$56,IF(Input!$H$56="Monthly",Input!$J$56,""))),"")</f>
        <v/>
      </c>
      <c r="M306" s="6" t="str">
        <f>IF(B306&lt;&gt;"",IF(AND(Input!$H$57="Annual",MOD(B306,12)=0),Input!$J$57,IF(AND(Input!$H$57="1st Installment",B306=1),Input!$J$57,IF(Input!$H$57="Monthly",Input!$J$57,""))),"")</f>
        <v/>
      </c>
      <c r="N306" s="6" t="str">
        <f>IF(B306&lt;&gt;"",IF(AND(Input!$H$58="Annual",MOD(B306,12)=0),Input!$J$58,IF(AND(Input!$H$58="1st Installment",B306=1),Input!$J$58,IF(Input!$H$58="Monthly",Input!$J$58,IF(AND(Input!$H$58="End of the loan",B306=Input!$E$58),Input!$J$58,"")))),"")</f>
        <v/>
      </c>
      <c r="O306" s="6" t="str">
        <f t="shared" si="40"/>
        <v/>
      </c>
      <c r="P306" s="4" t="str">
        <f t="shared" si="41"/>
        <v/>
      </c>
      <c r="T306" s="9" t="str">
        <f t="shared" si="42"/>
        <v/>
      </c>
      <c r="U306" s="5" t="str">
        <f t="shared" si="43"/>
        <v xml:space="preserve"> </v>
      </c>
    </row>
    <row r="307" spans="2:22" x14ac:dyDescent="0.2">
      <c r="B307" s="181" t="str">
        <f t="shared" si="46"/>
        <v/>
      </c>
      <c r="C307" s="162" t="str">
        <f t="shared" si="47"/>
        <v/>
      </c>
      <c r="D307" s="6" t="str">
        <f>IFERROR((PPMT(Input!$E$55/12,B307,$C$6,Input!$E$54,-Input!$E$65,0))," ")</f>
        <v xml:space="preserve"> </v>
      </c>
      <c r="E307" s="6" t="str">
        <f>IFERROR(((IPMT(Input!$E$55/12,B307,$C$6,Input!$E$54,-Input!$E$65,0)))," ")</f>
        <v xml:space="preserve"> </v>
      </c>
      <c r="F307" s="6" t="str">
        <f t="shared" si="49"/>
        <v/>
      </c>
      <c r="G307" s="6" t="str">
        <f t="shared" si="48"/>
        <v/>
      </c>
      <c r="H307" s="6" t="str">
        <f t="shared" si="44"/>
        <v/>
      </c>
      <c r="I307" s="6" t="str">
        <f t="shared" si="45"/>
        <v/>
      </c>
      <c r="J307" s="6" t="str">
        <f>IF(B307&lt;&gt;"",IF(AND(Input!$H$54="Annual",MOD(B307,12)=0),Input!$J$54,IF(AND(Input!$H$54="1st Installment",B307=1),Input!$J$54,IF(Input!$H$54="Monthly",Input!$J$54,""))),"")</f>
        <v/>
      </c>
      <c r="K307" s="6" t="str">
        <f>IF(B307&lt;&gt;"",IF(AND(Input!$H$55="Annual",MOD(B307,12)=0),Input!$J$55,IF(AND(Input!$H$55="1st Installment",B307=1),Input!$J$55,IF(Input!$H$55="Monthly",Input!$J$55,""))),"")</f>
        <v/>
      </c>
      <c r="L307" s="6" t="str">
        <f>IF(B307&lt;&gt;"",IF(AND(Input!$H$56="Annual",MOD(B307,12)=0),Input!$J$56,IF(AND(Input!$H$56="1st Installment",B307=1),Input!$J$56,IF(Input!$H$56="Monthly",Input!$J$56,""))),"")</f>
        <v/>
      </c>
      <c r="M307" s="6" t="str">
        <f>IF(B307&lt;&gt;"",IF(AND(Input!$H$57="Annual",MOD(B307,12)=0),Input!$J$57,IF(AND(Input!$H$57="1st Installment",B307=1),Input!$J$57,IF(Input!$H$57="Monthly",Input!$J$57,""))),"")</f>
        <v/>
      </c>
      <c r="N307" s="6" t="str">
        <f>IF(B307&lt;&gt;"",IF(AND(Input!$H$58="Annual",MOD(B307,12)=0),Input!$J$58,IF(AND(Input!$H$58="1st Installment",B307=1),Input!$J$58,IF(Input!$H$58="Monthly",Input!$J$58,IF(AND(Input!$H$58="End of the loan",B307=Input!$E$58),Input!$J$58,"")))),"")</f>
        <v/>
      </c>
      <c r="O307" s="6" t="str">
        <f t="shared" si="40"/>
        <v/>
      </c>
      <c r="P307" s="4" t="str">
        <f t="shared" si="41"/>
        <v/>
      </c>
      <c r="T307" s="9" t="str">
        <f t="shared" si="42"/>
        <v/>
      </c>
      <c r="U307" s="5" t="str">
        <f t="shared" si="43"/>
        <v xml:space="preserve"> </v>
      </c>
    </row>
    <row r="308" spans="2:22" x14ac:dyDescent="0.2">
      <c r="B308" s="181" t="str">
        <f t="shared" si="46"/>
        <v/>
      </c>
      <c r="C308" s="162" t="str">
        <f t="shared" si="47"/>
        <v/>
      </c>
      <c r="D308" s="6" t="str">
        <f>IFERROR((PPMT(Input!$E$55/12,B308,$C$6,Input!$E$54,-Input!$E$65,0))," ")</f>
        <v xml:space="preserve"> </v>
      </c>
      <c r="E308" s="6" t="str">
        <f>IFERROR(((IPMT(Input!$E$55/12,B308,$C$6,Input!$E$54,-Input!$E$65,0)))," ")</f>
        <v xml:space="preserve"> </v>
      </c>
      <c r="F308" s="6" t="str">
        <f t="shared" si="49"/>
        <v/>
      </c>
      <c r="G308" s="6" t="str">
        <f t="shared" si="48"/>
        <v/>
      </c>
      <c r="H308" s="6" t="str">
        <f t="shared" si="44"/>
        <v/>
      </c>
      <c r="I308" s="6" t="str">
        <f t="shared" si="45"/>
        <v/>
      </c>
      <c r="J308" s="6" t="str">
        <f>IF(B308&lt;&gt;"",IF(AND(Input!$H$54="Annual",MOD(B308,12)=0),Input!$J$54,IF(AND(Input!$H$54="1st Installment",B308=1),Input!$J$54,IF(Input!$H$54="Monthly",Input!$J$54,""))),"")</f>
        <v/>
      </c>
      <c r="K308" s="6" t="str">
        <f>IF(B308&lt;&gt;"",IF(AND(Input!$H$55="Annual",MOD(B308,12)=0),Input!$J$55,IF(AND(Input!$H$55="1st Installment",B308=1),Input!$J$55,IF(Input!$H$55="Monthly",Input!$J$55,""))),"")</f>
        <v/>
      </c>
      <c r="L308" s="6" t="str">
        <f>IF(B308&lt;&gt;"",IF(AND(Input!$H$56="Annual",MOD(B308,12)=0),Input!$J$56,IF(AND(Input!$H$56="1st Installment",B308=1),Input!$J$56,IF(Input!$H$56="Monthly",Input!$J$56,""))),"")</f>
        <v/>
      </c>
      <c r="M308" s="6" t="str">
        <f>IF(B308&lt;&gt;"",IF(AND(Input!$H$57="Annual",MOD(B308,12)=0),Input!$J$57,IF(AND(Input!$H$57="1st Installment",B308=1),Input!$J$57,IF(Input!$H$57="Monthly",Input!$J$57,""))),"")</f>
        <v/>
      </c>
      <c r="N308" s="6" t="str">
        <f>IF(B308&lt;&gt;"",IF(AND(Input!$H$58="Annual",MOD(B308,12)=0),Input!$J$58,IF(AND(Input!$H$58="1st Installment",B308=1),Input!$J$58,IF(Input!$H$58="Monthly",Input!$J$58,IF(AND(Input!$H$58="End of the loan",B308=Input!$E$58),Input!$J$58,"")))),"")</f>
        <v/>
      </c>
      <c r="O308" s="6" t="str">
        <f t="shared" si="40"/>
        <v/>
      </c>
      <c r="P308" s="4" t="str">
        <f t="shared" si="41"/>
        <v/>
      </c>
      <c r="T308" s="9" t="str">
        <f t="shared" si="42"/>
        <v/>
      </c>
      <c r="U308" s="5" t="str">
        <f t="shared" si="43"/>
        <v xml:space="preserve"> </v>
      </c>
    </row>
    <row r="309" spans="2:22" x14ac:dyDescent="0.2">
      <c r="B309" s="181" t="str">
        <f t="shared" si="46"/>
        <v/>
      </c>
      <c r="C309" s="162" t="str">
        <f t="shared" si="47"/>
        <v/>
      </c>
      <c r="D309" s="6" t="str">
        <f>IFERROR((PPMT(Input!$E$55/12,B309,$C$6,Input!$E$54,-Input!$E$65,0))," ")</f>
        <v xml:space="preserve"> </v>
      </c>
      <c r="E309" s="6" t="str">
        <f>IFERROR(((IPMT(Input!$E$55/12,B309,$C$6,Input!$E$54,-Input!$E$65,0)))," ")</f>
        <v xml:space="preserve"> </v>
      </c>
      <c r="F309" s="6" t="str">
        <f t="shared" si="49"/>
        <v/>
      </c>
      <c r="G309" s="6" t="str">
        <f t="shared" si="48"/>
        <v/>
      </c>
      <c r="H309" s="6" t="str">
        <f t="shared" si="44"/>
        <v/>
      </c>
      <c r="I309" s="6" t="str">
        <f t="shared" si="45"/>
        <v/>
      </c>
      <c r="J309" s="6" t="str">
        <f>IF(B309&lt;&gt;"",IF(AND(Input!$H$54="Annual",MOD(B309,12)=0),Input!$J$54,IF(AND(Input!$H$54="1st Installment",B309=1),Input!$J$54,IF(Input!$H$54="Monthly",Input!$J$54,""))),"")</f>
        <v/>
      </c>
      <c r="K309" s="6" t="str">
        <f>IF(B309&lt;&gt;"",IF(AND(Input!$H$55="Annual",MOD(B309,12)=0),Input!$J$55,IF(AND(Input!$H$55="1st Installment",B309=1),Input!$J$55,IF(Input!$H$55="Monthly",Input!$J$55,""))),"")</f>
        <v/>
      </c>
      <c r="L309" s="6" t="str">
        <f>IF(B309&lt;&gt;"",IF(AND(Input!$H$56="Annual",MOD(B309,12)=0),Input!$J$56,IF(AND(Input!$H$56="1st Installment",B309=1),Input!$J$56,IF(Input!$H$56="Monthly",Input!$J$56,""))),"")</f>
        <v/>
      </c>
      <c r="M309" s="6" t="str">
        <f>IF(B309&lt;&gt;"",IF(AND(Input!$H$57="Annual",MOD(B309,12)=0),Input!$J$57,IF(AND(Input!$H$57="1st Installment",B309=1),Input!$J$57,IF(Input!$H$57="Monthly",Input!$J$57,""))),"")</f>
        <v/>
      </c>
      <c r="N309" s="6" t="str">
        <f>IF(B309&lt;&gt;"",IF(AND(Input!$H$58="Annual",MOD(B309,12)=0),Input!$J$58,IF(AND(Input!$H$58="1st Installment",B309=1),Input!$J$58,IF(Input!$H$58="Monthly",Input!$J$58,IF(AND(Input!$H$58="End of the loan",B309=Input!$E$58),Input!$J$58,"")))),"")</f>
        <v/>
      </c>
      <c r="O309" s="6" t="str">
        <f t="shared" si="40"/>
        <v/>
      </c>
      <c r="P309" s="4" t="str">
        <f t="shared" si="41"/>
        <v/>
      </c>
      <c r="T309" s="9" t="str">
        <f t="shared" si="42"/>
        <v/>
      </c>
      <c r="U309" s="5" t="str">
        <f t="shared" si="43"/>
        <v xml:space="preserve"> </v>
      </c>
    </row>
    <row r="310" spans="2:22" x14ac:dyDescent="0.2">
      <c r="B310" s="181" t="str">
        <f t="shared" si="46"/>
        <v/>
      </c>
      <c r="C310" s="162" t="str">
        <f t="shared" si="47"/>
        <v/>
      </c>
      <c r="D310" s="6" t="str">
        <f>IFERROR((PPMT(Input!$E$55/12,B310,$C$6,Input!$E$54,-Input!$E$65,0))," ")</f>
        <v xml:space="preserve"> </v>
      </c>
      <c r="E310" s="6" t="str">
        <f>IFERROR(((IPMT(Input!$E$55/12,B310,$C$6,Input!$E$54,-Input!$E$65,0)))," ")</f>
        <v xml:space="preserve"> </v>
      </c>
      <c r="F310" s="6" t="str">
        <f t="shared" si="49"/>
        <v/>
      </c>
      <c r="G310" s="6" t="str">
        <f t="shared" si="48"/>
        <v/>
      </c>
      <c r="H310" s="6" t="str">
        <f t="shared" si="44"/>
        <v/>
      </c>
      <c r="I310" s="6" t="str">
        <f t="shared" si="45"/>
        <v/>
      </c>
      <c r="J310" s="6" t="str">
        <f>IF(B310&lt;&gt;"",IF(AND(Input!$H$54="Annual",MOD(B310,12)=0),Input!$J$54,IF(AND(Input!$H$54="1st Installment",B310=1),Input!$J$54,IF(Input!$H$54="Monthly",Input!$J$54,""))),"")</f>
        <v/>
      </c>
      <c r="K310" s="6" t="str">
        <f>IF(B310&lt;&gt;"",IF(AND(Input!$H$55="Annual",MOD(B310,12)=0),Input!$J$55,IF(AND(Input!$H$55="1st Installment",B310=1),Input!$J$55,IF(Input!$H$55="Monthly",Input!$J$55,""))),"")</f>
        <v/>
      </c>
      <c r="L310" s="6" t="str">
        <f>IF(B310&lt;&gt;"",IF(AND(Input!$H$56="Annual",MOD(B310,12)=0),Input!$J$56,IF(AND(Input!$H$56="1st Installment",B310=1),Input!$J$56,IF(Input!$H$56="Monthly",Input!$J$56,""))),"")</f>
        <v/>
      </c>
      <c r="M310" s="6" t="str">
        <f>IF(B310&lt;&gt;"",IF(AND(Input!$H$57="Annual",MOD(B310,12)=0),Input!$J$57,IF(AND(Input!$H$57="1st Installment",B310=1),Input!$J$57,IF(Input!$H$57="Monthly",Input!$J$57,""))),"")</f>
        <v/>
      </c>
      <c r="N310" s="6" t="str">
        <f>IF(B310&lt;&gt;"",IF(AND(Input!$H$58="Annual",MOD(B310,12)=0),Input!$J$58,IF(AND(Input!$H$58="1st Installment",B310=1),Input!$J$58,IF(Input!$H$58="Monthly",Input!$J$58,IF(AND(Input!$H$58="End of the loan",B310=Input!$E$58),Input!$J$58,"")))),"")</f>
        <v/>
      </c>
      <c r="O310" s="6" t="str">
        <f t="shared" si="40"/>
        <v/>
      </c>
      <c r="P310" s="4" t="str">
        <f t="shared" si="41"/>
        <v/>
      </c>
      <c r="T310" s="9" t="str">
        <f t="shared" si="42"/>
        <v/>
      </c>
      <c r="U310" s="5" t="str">
        <f t="shared" si="43"/>
        <v xml:space="preserve"> </v>
      </c>
    </row>
    <row r="311" spans="2:22" x14ac:dyDescent="0.2">
      <c r="B311" s="181" t="str">
        <f t="shared" si="46"/>
        <v/>
      </c>
      <c r="C311" s="162" t="str">
        <f t="shared" si="47"/>
        <v/>
      </c>
      <c r="D311" s="6" t="str">
        <f>IFERROR((PPMT(Input!$E$55/12,B311,$C$6,Input!$E$54,-Input!$E$65,0))," ")</f>
        <v xml:space="preserve"> </v>
      </c>
      <c r="E311" s="6" t="str">
        <f>IFERROR(((IPMT(Input!$E$55/12,B311,$C$6,Input!$E$54,-Input!$E$65,0)))," ")</f>
        <v xml:space="preserve"> </v>
      </c>
      <c r="F311" s="6" t="str">
        <f t="shared" si="49"/>
        <v/>
      </c>
      <c r="G311" s="6" t="str">
        <f t="shared" si="48"/>
        <v/>
      </c>
      <c r="H311" s="6" t="str">
        <f t="shared" si="44"/>
        <v/>
      </c>
      <c r="I311" s="6" t="str">
        <f t="shared" si="45"/>
        <v/>
      </c>
      <c r="J311" s="6" t="str">
        <f>IF(B311&lt;&gt;"",IF(AND(Input!$H$54="Annual",MOD(B311,12)=0),Input!$J$54,IF(AND(Input!$H$54="1st Installment",B311=1),Input!$J$54,IF(Input!$H$54="Monthly",Input!$J$54,""))),"")</f>
        <v/>
      </c>
      <c r="K311" s="6" t="str">
        <f>IF(B311&lt;&gt;"",IF(AND(Input!$H$55="Annual",MOD(B311,12)=0),Input!$J$55,IF(AND(Input!$H$55="1st Installment",B311=1),Input!$J$55,IF(Input!$H$55="Monthly",Input!$J$55,""))),"")</f>
        <v/>
      </c>
      <c r="L311" s="6" t="str">
        <f>IF(B311&lt;&gt;"",IF(AND(Input!$H$56="Annual",MOD(B311,12)=0),Input!$J$56,IF(AND(Input!$H$56="1st Installment",B311=1),Input!$J$56,IF(Input!$H$56="Monthly",Input!$J$56,""))),"")</f>
        <v/>
      </c>
      <c r="M311" s="6" t="str">
        <f>IF(B311&lt;&gt;"",IF(AND(Input!$H$57="Annual",MOD(B311,12)=0),Input!$J$57,IF(AND(Input!$H$57="1st Installment",B311=1),Input!$J$57,IF(Input!$H$57="Monthly",Input!$J$57,""))),"")</f>
        <v/>
      </c>
      <c r="N311" s="6" t="str">
        <f>IF(B311&lt;&gt;"",IF(AND(Input!$H$58="Annual",MOD(B311,12)=0),Input!$J$58,IF(AND(Input!$H$58="1st Installment",B311=1),Input!$J$58,IF(Input!$H$58="Monthly",Input!$J$58,IF(AND(Input!$H$58="End of the loan",B311=Input!$E$58),Input!$J$58,"")))),"")</f>
        <v/>
      </c>
      <c r="O311" s="6" t="str">
        <f t="shared" si="40"/>
        <v/>
      </c>
      <c r="P311" s="4" t="str">
        <f t="shared" si="41"/>
        <v/>
      </c>
      <c r="T311" s="9" t="str">
        <f t="shared" si="42"/>
        <v/>
      </c>
      <c r="U311" s="5" t="str">
        <f t="shared" si="43"/>
        <v xml:space="preserve"> </v>
      </c>
    </row>
    <row r="312" spans="2:22" x14ac:dyDescent="0.2">
      <c r="B312" s="181" t="str">
        <f t="shared" si="46"/>
        <v/>
      </c>
      <c r="C312" s="162" t="str">
        <f t="shared" si="47"/>
        <v/>
      </c>
      <c r="D312" s="6" t="str">
        <f>IFERROR((PPMT(Input!$E$55/12,B312,$C$6,Input!$E$54,-Input!$E$65,0))," ")</f>
        <v xml:space="preserve"> </v>
      </c>
      <c r="E312" s="6" t="str">
        <f>IFERROR(((IPMT(Input!$E$55/12,B312,$C$6,Input!$E$54,-Input!$E$65,0)))," ")</f>
        <v xml:space="preserve"> </v>
      </c>
      <c r="F312" s="6" t="str">
        <f t="shared" si="49"/>
        <v/>
      </c>
      <c r="G312" s="6" t="str">
        <f t="shared" si="48"/>
        <v/>
      </c>
      <c r="H312" s="6" t="str">
        <f t="shared" si="44"/>
        <v/>
      </c>
      <c r="I312" s="6" t="str">
        <f t="shared" si="45"/>
        <v/>
      </c>
      <c r="J312" s="6" t="str">
        <f>IF(B312&lt;&gt;"",IF(AND(Input!$H$54="Annual",MOD(B312,12)=0),Input!$J$54,IF(AND(Input!$H$54="1st Installment",B312=1),Input!$J$54,IF(Input!$H$54="Monthly",Input!$J$54,""))),"")</f>
        <v/>
      </c>
      <c r="K312" s="6" t="str">
        <f>IF(B312&lt;&gt;"",IF(AND(Input!$H$55="Annual",MOD(B312,12)=0),Input!$J$55,IF(AND(Input!$H$55="1st Installment",B312=1),Input!$J$55,IF(Input!$H$55="Monthly",Input!$J$55,""))),"")</f>
        <v/>
      </c>
      <c r="L312" s="6" t="str">
        <f>IF(B312&lt;&gt;"",IF(AND(Input!$H$56="Annual",MOD(B312,12)=0),Input!$J$56,IF(AND(Input!$H$56="1st Installment",B312=1),Input!$J$56,IF(Input!$H$56="Monthly",Input!$J$56,""))),"")</f>
        <v/>
      </c>
      <c r="M312" s="6" t="str">
        <f>IF(B312&lt;&gt;"",IF(AND(Input!$H$57="Annual",MOD(B312,12)=0),Input!$J$57,IF(AND(Input!$H$57="1st Installment",B312=1),Input!$J$57,IF(Input!$H$57="Monthly",Input!$J$57,""))),"")</f>
        <v/>
      </c>
      <c r="N312" s="6" t="str">
        <f>IF(B312&lt;&gt;"",IF(AND(Input!$H$58="Annual",MOD(B312,12)=0),Input!$J$58,IF(AND(Input!$H$58="1st Installment",B312=1),Input!$J$58,IF(Input!$H$58="Monthly",Input!$J$58,IF(AND(Input!$H$58="End of the loan",B312=Input!$E$58),Input!$J$58,"")))),"")</f>
        <v/>
      </c>
      <c r="O312" s="6" t="str">
        <f t="shared" si="40"/>
        <v/>
      </c>
      <c r="P312" s="4" t="str">
        <f t="shared" si="41"/>
        <v/>
      </c>
      <c r="T312" s="9" t="str">
        <f t="shared" si="42"/>
        <v/>
      </c>
      <c r="U312" s="5" t="str">
        <f t="shared" si="43"/>
        <v xml:space="preserve"> </v>
      </c>
    </row>
    <row r="313" spans="2:22" x14ac:dyDescent="0.2">
      <c r="B313" s="181" t="str">
        <f t="shared" si="46"/>
        <v/>
      </c>
      <c r="C313" s="162" t="str">
        <f t="shared" si="47"/>
        <v/>
      </c>
      <c r="D313" s="6" t="str">
        <f>IFERROR((PPMT(Input!$E$55/12,B313,$C$6,Input!$E$54,-Input!$E$65,0))," ")</f>
        <v xml:space="preserve"> </v>
      </c>
      <c r="E313" s="6" t="str">
        <f>IFERROR(((IPMT(Input!$E$55/12,B313,$C$6,Input!$E$54,-Input!$E$65,0)))," ")</f>
        <v xml:space="preserve"> </v>
      </c>
      <c r="F313" s="6" t="str">
        <f t="shared" si="49"/>
        <v/>
      </c>
      <c r="G313" s="6" t="str">
        <f t="shared" si="48"/>
        <v/>
      </c>
      <c r="H313" s="6" t="str">
        <f t="shared" si="44"/>
        <v/>
      </c>
      <c r="I313" s="6" t="str">
        <f t="shared" si="45"/>
        <v/>
      </c>
      <c r="J313" s="6" t="str">
        <f>IF(B313&lt;&gt;"",IF(AND(Input!$H$54="Annual",MOD(B313,12)=0),Input!$J$54,IF(AND(Input!$H$54="1st Installment",B313=1),Input!$J$54,IF(Input!$H$54="Monthly",Input!$J$54,""))),"")</f>
        <v/>
      </c>
      <c r="K313" s="6" t="str">
        <f>IF(B313&lt;&gt;"",IF(AND(Input!$H$55="Annual",MOD(B313,12)=0),Input!$J$55,IF(AND(Input!$H$55="1st Installment",B313=1),Input!$J$55,IF(Input!$H$55="Monthly",Input!$J$55,""))),"")</f>
        <v/>
      </c>
      <c r="L313" s="6" t="str">
        <f>IF(B313&lt;&gt;"",IF(AND(Input!$H$56="Annual",MOD(B313,12)=0),Input!$J$56,IF(AND(Input!$H$56="1st Installment",B313=1),Input!$J$56,IF(Input!$H$56="Monthly",Input!$J$56,""))),"")</f>
        <v/>
      </c>
      <c r="M313" s="6" t="str">
        <f>IF(B313&lt;&gt;"",IF(AND(Input!$H$57="Annual",MOD(B313,12)=0),Input!$J$57,IF(AND(Input!$H$57="1st Installment",B313=1),Input!$J$57,IF(Input!$H$57="Monthly",Input!$J$57,""))),"")</f>
        <v/>
      </c>
      <c r="N313" s="6" t="str">
        <f>IF(B313&lt;&gt;"",IF(AND(Input!$H$58="Annual",MOD(B313,12)=0),Input!$J$58,IF(AND(Input!$H$58="1st Installment",B313=1),Input!$J$58,IF(Input!$H$58="Monthly",Input!$J$58,IF(AND(Input!$H$58="End of the loan",B313=Input!$E$58),Input!$J$58,"")))),"")</f>
        <v/>
      </c>
      <c r="O313" s="6" t="str">
        <f t="shared" si="40"/>
        <v/>
      </c>
      <c r="P313" s="4" t="str">
        <f t="shared" si="41"/>
        <v/>
      </c>
      <c r="T313" s="9" t="str">
        <f t="shared" si="42"/>
        <v/>
      </c>
      <c r="U313" s="5" t="str">
        <f t="shared" si="43"/>
        <v xml:space="preserve"> </v>
      </c>
    </row>
    <row r="314" spans="2:22" x14ac:dyDescent="0.2">
      <c r="B314" s="181" t="str">
        <f t="shared" si="46"/>
        <v/>
      </c>
      <c r="C314" s="162" t="str">
        <f t="shared" si="47"/>
        <v/>
      </c>
      <c r="D314" s="6" t="str">
        <f>IFERROR((PPMT(Input!$E$55/12,B314,$C$6,Input!$E$54,-Input!$E$65,0))," ")</f>
        <v xml:space="preserve"> </v>
      </c>
      <c r="E314" s="6" t="str">
        <f>IFERROR(((IPMT(Input!$E$55/12,B314,$C$6,Input!$E$54,-Input!$E$65,0)))," ")</f>
        <v xml:space="preserve"> </v>
      </c>
      <c r="F314" s="6" t="str">
        <f t="shared" si="49"/>
        <v/>
      </c>
      <c r="G314" s="6" t="str">
        <f t="shared" si="48"/>
        <v/>
      </c>
      <c r="H314" s="6" t="str">
        <f t="shared" si="44"/>
        <v/>
      </c>
      <c r="I314" s="6" t="str">
        <f t="shared" si="45"/>
        <v/>
      </c>
      <c r="J314" s="6" t="str">
        <f>IF(B314&lt;&gt;"",IF(AND(Input!$H$54="Annual",MOD(B314,12)=0),Input!$J$54,IF(AND(Input!$H$54="1st Installment",B314=1),Input!$J$54,IF(Input!$H$54="Monthly",Input!$J$54,""))),"")</f>
        <v/>
      </c>
      <c r="K314" s="6" t="str">
        <f>IF(B314&lt;&gt;"",IF(AND(Input!$H$55="Annual",MOD(B314,12)=0),Input!$J$55,IF(AND(Input!$H$55="1st Installment",B314=1),Input!$J$55,IF(Input!$H$55="Monthly",Input!$J$55,""))),"")</f>
        <v/>
      </c>
      <c r="L314" s="6" t="str">
        <f>IF(B314&lt;&gt;"",IF(AND(Input!$H$56="Annual",MOD(B314,12)=0),Input!$J$56,IF(AND(Input!$H$56="1st Installment",B314=1),Input!$J$56,IF(Input!$H$56="Monthly",Input!$J$56,""))),"")</f>
        <v/>
      </c>
      <c r="M314" s="6" t="str">
        <f>IF(B314&lt;&gt;"",IF(AND(Input!$H$57="Annual",MOD(B314,12)=0),Input!$J$57,IF(AND(Input!$H$57="1st Installment",B314=1),Input!$J$57,IF(Input!$H$57="Monthly",Input!$J$57,""))),"")</f>
        <v/>
      </c>
      <c r="N314" s="6" t="str">
        <f>IF(B314&lt;&gt;"",IF(AND(Input!$H$58="Annual",MOD(B314,12)=0),Input!$J$58,IF(AND(Input!$H$58="1st Installment",B314=1),Input!$J$58,IF(Input!$H$58="Monthly",Input!$J$58,IF(AND(Input!$H$58="End of the loan",B314=Input!$E$58),Input!$J$58,"")))),"")</f>
        <v/>
      </c>
      <c r="O314" s="6" t="str">
        <f t="shared" si="40"/>
        <v/>
      </c>
      <c r="P314" s="4" t="str">
        <f t="shared" si="41"/>
        <v/>
      </c>
      <c r="T314" s="9" t="str">
        <f t="shared" si="42"/>
        <v/>
      </c>
      <c r="U314" s="5" t="str">
        <f t="shared" si="43"/>
        <v xml:space="preserve"> </v>
      </c>
    </row>
    <row r="315" spans="2:22" x14ac:dyDescent="0.2">
      <c r="B315" s="181" t="str">
        <f t="shared" si="46"/>
        <v/>
      </c>
      <c r="C315" s="162" t="str">
        <f t="shared" si="47"/>
        <v/>
      </c>
      <c r="D315" s="6" t="str">
        <f>IFERROR((PPMT(Input!$E$55/12,B315,$C$6,Input!$E$54,-Input!$E$65,0))," ")</f>
        <v xml:space="preserve"> </v>
      </c>
      <c r="E315" s="6" t="str">
        <f>IFERROR(((IPMT(Input!$E$55/12,B315,$C$6,Input!$E$54,-Input!$E$65,0)))," ")</f>
        <v xml:space="preserve"> </v>
      </c>
      <c r="F315" s="6" t="str">
        <f t="shared" si="49"/>
        <v/>
      </c>
      <c r="G315" s="6" t="str">
        <f t="shared" si="48"/>
        <v/>
      </c>
      <c r="H315" s="6" t="str">
        <f t="shared" si="44"/>
        <v/>
      </c>
      <c r="I315" s="6" t="str">
        <f t="shared" si="45"/>
        <v/>
      </c>
      <c r="J315" s="6" t="str">
        <f>IF(B315&lt;&gt;"",IF(AND(Input!$H$54="Annual",MOD(B315,12)=0),Input!$J$54,IF(AND(Input!$H$54="1st Installment",B315=1),Input!$J$54,IF(Input!$H$54="Monthly",Input!$J$54,""))),"")</f>
        <v/>
      </c>
      <c r="K315" s="6" t="str">
        <f>IF(B315&lt;&gt;"",IF(AND(Input!$H$55="Annual",MOD(B315,12)=0),Input!$J$55,IF(AND(Input!$H$55="1st Installment",B315=1),Input!$J$55,IF(Input!$H$55="Monthly",Input!$J$55,""))),"")</f>
        <v/>
      </c>
      <c r="L315" s="6" t="str">
        <f>IF(B315&lt;&gt;"",IF(AND(Input!$H$56="Annual",MOD(B315,12)=0),Input!$J$56,IF(AND(Input!$H$56="1st Installment",B315=1),Input!$J$56,IF(Input!$H$56="Monthly",Input!$J$56,""))),"")</f>
        <v/>
      </c>
      <c r="M315" s="6" t="str">
        <f>IF(B315&lt;&gt;"",IF(AND(Input!$H$57="Annual",MOD(B315,12)=0),Input!$J$57,IF(AND(Input!$H$57="1st Installment",B315=1),Input!$J$57,IF(Input!$H$57="Monthly",Input!$J$57,""))),"")</f>
        <v/>
      </c>
      <c r="N315" s="6" t="str">
        <f>IF(B315&lt;&gt;"",IF(AND(Input!$H$58="Annual",MOD(B315,12)=0),Input!$J$58,IF(AND(Input!$H$58="1st Installment",B315=1),Input!$J$58,IF(Input!$H$58="Monthly",Input!$J$58,IF(AND(Input!$H$58="End of the loan",B315=Input!$E$58),Input!$J$58,"")))),"")</f>
        <v/>
      </c>
      <c r="O315" s="6" t="str">
        <f t="shared" si="40"/>
        <v/>
      </c>
      <c r="P315" s="4" t="str">
        <f t="shared" si="41"/>
        <v/>
      </c>
      <c r="T315" s="9" t="str">
        <f t="shared" si="42"/>
        <v/>
      </c>
      <c r="U315" s="5" t="str">
        <f t="shared" si="43"/>
        <v xml:space="preserve"> </v>
      </c>
    </row>
    <row r="316" spans="2:22" ht="13.8" customHeight="1" x14ac:dyDescent="0.2">
      <c r="B316" s="181" t="str">
        <f t="shared" si="46"/>
        <v/>
      </c>
      <c r="C316" s="162" t="str">
        <f t="shared" si="47"/>
        <v/>
      </c>
      <c r="D316" s="6" t="str">
        <f>IFERROR((PPMT(Input!$E$55/12,B316,$C$6,Input!$E$54,-Input!$E$65,0))," ")</f>
        <v xml:space="preserve"> </v>
      </c>
      <c r="E316" s="6" t="str">
        <f>IFERROR(((IPMT(Input!$E$55/12,B316,$C$6,Input!$E$54,-Input!$E$65,0)))," ")</f>
        <v xml:space="preserve"> </v>
      </c>
      <c r="F316" s="6" t="str">
        <f t="shared" si="49"/>
        <v/>
      </c>
      <c r="G316" s="6" t="str">
        <f t="shared" si="48"/>
        <v/>
      </c>
      <c r="H316" s="6" t="str">
        <f t="shared" si="44"/>
        <v/>
      </c>
      <c r="I316" s="6" t="str">
        <f t="shared" si="45"/>
        <v/>
      </c>
      <c r="J316" s="6" t="str">
        <f>IF(B316&lt;&gt;"",IF(AND(Input!$H$54="Annual",MOD(B316,12)=0),Input!$J$54,IF(AND(Input!$H$54="1st Installment",B316=1),Input!$J$54,IF(Input!$H$54="Monthly",Input!$J$54,""))),"")</f>
        <v/>
      </c>
      <c r="K316" s="6" t="str">
        <f>IF(B316&lt;&gt;"",IF(AND(Input!$H$55="Annual",MOD(B316,12)=0),Input!$J$55,IF(AND(Input!$H$55="1st Installment",B316=1),Input!$J$55,IF(Input!$H$55="Monthly",Input!$J$55,""))),"")</f>
        <v/>
      </c>
      <c r="L316" s="6" t="str">
        <f>IF(B316&lt;&gt;"",IF(AND(Input!$H$56="Annual",MOD(B316,12)=0),Input!$J$56,IF(AND(Input!$H$56="1st Installment",B316=1),Input!$J$56,IF(Input!$H$56="Monthly",Input!$J$56,""))),"")</f>
        <v/>
      </c>
      <c r="M316" s="6" t="str">
        <f>IF(B316&lt;&gt;"",IF(AND(Input!$H$57="Annual",MOD(B316,12)=0),Input!$J$57,IF(AND(Input!$H$57="1st Installment",B316=1),Input!$J$57,IF(Input!$H$57="Monthly",Input!$J$57,""))),"")</f>
        <v/>
      </c>
      <c r="N316" s="6" t="str">
        <f>IF(B316&lt;&gt;"",IF(AND(Input!$H$58="Annual",MOD(B316,12)=0),Input!$J$58,IF(AND(Input!$H$58="1st Installment",B316=1),Input!$J$58,IF(Input!$H$58="Monthly",Input!$J$58,IF(AND(Input!$H$58="End of the loan",B316=Input!$E$58),Input!$J$58,"")))),"")</f>
        <v/>
      </c>
      <c r="O316" s="6" t="str">
        <f t="shared" si="40"/>
        <v/>
      </c>
      <c r="P316" s="4" t="str">
        <f t="shared" si="41"/>
        <v/>
      </c>
      <c r="T316" s="9" t="str">
        <f t="shared" si="42"/>
        <v/>
      </c>
      <c r="U316" s="5" t="str">
        <f t="shared" si="43"/>
        <v xml:space="preserve"> </v>
      </c>
    </row>
    <row r="317" spans="2:22" x14ac:dyDescent="0.2">
      <c r="B317" s="181" t="str">
        <f t="shared" si="46"/>
        <v/>
      </c>
      <c r="C317" s="162" t="str">
        <f t="shared" si="47"/>
        <v/>
      </c>
      <c r="D317" s="6" t="str">
        <f>IFERROR((PPMT(Input!$E$55/12,B317,$C$6,Input!$E$54,-Input!$E$65,0))," ")</f>
        <v xml:space="preserve"> </v>
      </c>
      <c r="E317" s="6" t="str">
        <f>IFERROR(((IPMT(Input!$E$55/12,B317,$C$6,Input!$E$54,-Input!$E$65,0)))," ")</f>
        <v xml:space="preserve"> </v>
      </c>
      <c r="F317" s="6" t="str">
        <f>IF(B317&lt;=$C$6,F316+D317,"")</f>
        <v/>
      </c>
      <c r="G317" s="6" t="str">
        <f t="shared" si="48"/>
        <v/>
      </c>
      <c r="H317" s="6" t="str">
        <f>+IF(B317=$C$6,(-$C$13+IFERROR(D317+E317,"")),IFERROR(D317+E317,""))</f>
        <v/>
      </c>
      <c r="I317" s="6" t="str">
        <f t="shared" si="45"/>
        <v/>
      </c>
      <c r="J317" s="6" t="str">
        <f>IF(B317&lt;&gt;"",IF(AND(Input!$H$54="Annual",MOD(B317,12)=0),Input!$J$54,IF(AND(Input!$H$54="1st Installment",B317=1),Input!$J$54,IF(Input!$H$54="Monthly",Input!$J$54,""))),"")</f>
        <v/>
      </c>
      <c r="K317" s="6" t="str">
        <f>IF(B317&lt;&gt;"",IF(AND(Input!$H$55="Annual",MOD(B317,12)=0),Input!$J$55,IF(AND(Input!$H$55="1st Installment",B317=1),Input!$J$55,IF(Input!$H$55="Monthly",Input!$J$55,""))),"")</f>
        <v/>
      </c>
      <c r="L317" s="6" t="str">
        <f>IF(B317&lt;&gt;"",IF(AND(Input!$H$56="Annual",MOD(B317,12)=0),Input!$J$56,IF(AND(Input!$H$56="1st Installment",B317=1),Input!$J$56,IF(Input!$H$56="Monthly",Input!$J$56,""))),"")</f>
        <v/>
      </c>
      <c r="M317" s="6" t="str">
        <f>IF(B317&lt;&gt;"",IF(AND(Input!$H$57="Annual",MOD(B317,12)=0),Input!$J$57,IF(AND(Input!$H$57="1st Installment",B317=1),Input!$J$57,IF(Input!$H$57="Monthly",Input!$J$57,""))),"")</f>
        <v/>
      </c>
      <c r="N317" s="6" t="str">
        <f>IF(B317&lt;&gt;"",IF(AND(Input!$H$58="Annual",MOD(B317,12)=0),Input!$J$58,IF(AND(Input!$H$58="1st Installment",B317=1),Input!$J$58,IF(Input!$H$58="Monthly",Input!$J$58,IF(AND(Input!$H$58="End of the loan",B317=Input!$E$58),Input!$J$58,"")))),"")</f>
        <v/>
      </c>
      <c r="O317" s="6" t="str">
        <f t="shared" si="40"/>
        <v/>
      </c>
      <c r="P317" s="4" t="str">
        <f t="shared" si="41"/>
        <v/>
      </c>
      <c r="T317" s="9" t="str">
        <f t="shared" si="42"/>
        <v/>
      </c>
      <c r="U317" s="5" t="str">
        <f t="shared" si="43"/>
        <v xml:space="preserve"> </v>
      </c>
    </row>
    <row r="318" spans="2:22" s="11" customFormat="1" x14ac:dyDescent="0.2">
      <c r="B318" s="168"/>
      <c r="C318" s="169"/>
      <c r="D318" s="170"/>
      <c r="E318" s="170"/>
      <c r="F318" s="170"/>
      <c r="G318" s="170"/>
      <c r="H318" s="170"/>
      <c r="I318" s="170"/>
      <c r="J318" s="170"/>
      <c r="K318" s="170"/>
      <c r="L318" s="170"/>
      <c r="M318" s="170"/>
      <c r="N318" s="170"/>
      <c r="O318" s="170"/>
      <c r="P318" s="171"/>
      <c r="T318" s="169"/>
      <c r="U318" s="172"/>
      <c r="V318" s="173"/>
    </row>
    <row r="319" spans="2:22" s="11" customFormat="1" x14ac:dyDescent="0.2">
      <c r="B319" s="32"/>
      <c r="C319" s="65"/>
      <c r="D319" s="174"/>
      <c r="E319" s="174"/>
      <c r="F319" s="174"/>
      <c r="G319" s="174"/>
      <c r="H319" s="174"/>
      <c r="I319" s="174"/>
      <c r="J319" s="174"/>
      <c r="K319" s="174"/>
      <c r="L319" s="174"/>
      <c r="M319" s="174"/>
      <c r="N319" s="174"/>
      <c r="O319" s="174"/>
      <c r="P319" s="72"/>
      <c r="T319" s="65"/>
      <c r="U319" s="175"/>
      <c r="V319" s="173"/>
    </row>
    <row r="320" spans="2:22" s="11" customFormat="1" x14ac:dyDescent="0.2">
      <c r="B320" s="32"/>
      <c r="C320" s="65"/>
      <c r="D320" s="174"/>
      <c r="E320" s="174"/>
      <c r="F320" s="174"/>
      <c r="G320" s="174"/>
      <c r="H320" s="174"/>
      <c r="I320" s="174"/>
      <c r="J320" s="174"/>
      <c r="K320" s="174"/>
      <c r="L320" s="174"/>
      <c r="M320" s="174"/>
      <c r="N320" s="174"/>
      <c r="O320" s="174"/>
      <c r="P320" s="72"/>
      <c r="T320" s="65"/>
      <c r="U320" s="175"/>
      <c r="V320" s="173"/>
    </row>
    <row r="321" spans="2:22" s="11" customFormat="1" x14ac:dyDescent="0.2">
      <c r="B321" s="32"/>
      <c r="C321" s="65"/>
      <c r="D321" s="174"/>
      <c r="E321" s="174"/>
      <c r="F321" s="174"/>
      <c r="G321" s="174"/>
      <c r="H321" s="174"/>
      <c r="I321" s="174"/>
      <c r="J321" s="174"/>
      <c r="K321" s="174"/>
      <c r="L321" s="174"/>
      <c r="M321" s="174"/>
      <c r="N321" s="174"/>
      <c r="O321" s="174"/>
      <c r="P321" s="72"/>
      <c r="T321" s="65"/>
      <c r="U321" s="175"/>
      <c r="V321" s="173"/>
    </row>
    <row r="322" spans="2:22" s="11" customFormat="1" x14ac:dyDescent="0.2">
      <c r="B322" s="32"/>
      <c r="C322" s="65"/>
      <c r="D322" s="174"/>
      <c r="E322" s="174"/>
      <c r="F322" s="174"/>
      <c r="G322" s="174"/>
      <c r="H322" s="174"/>
      <c r="I322" s="174"/>
      <c r="J322" s="174"/>
      <c r="K322" s="174"/>
      <c r="L322" s="174"/>
      <c r="M322" s="174"/>
      <c r="N322" s="174"/>
      <c r="O322" s="174"/>
      <c r="P322" s="72"/>
      <c r="T322" s="65"/>
      <c r="U322" s="175"/>
      <c r="V322" s="173"/>
    </row>
    <row r="323" spans="2:22" s="11" customFormat="1" x14ac:dyDescent="0.2">
      <c r="B323" s="32"/>
      <c r="C323" s="65"/>
      <c r="D323" s="174"/>
      <c r="E323" s="174"/>
      <c r="F323" s="174"/>
      <c r="G323" s="174"/>
      <c r="H323" s="174"/>
      <c r="I323" s="174"/>
      <c r="J323" s="174"/>
      <c r="K323" s="174"/>
      <c r="L323" s="174"/>
      <c r="M323" s="174"/>
      <c r="N323" s="174"/>
      <c r="O323" s="174"/>
      <c r="P323" s="72"/>
      <c r="T323" s="65"/>
      <c r="U323" s="175"/>
      <c r="V323" s="173"/>
    </row>
    <row r="324" spans="2:22" s="11" customFormat="1" x14ac:dyDescent="0.2">
      <c r="B324" s="32"/>
      <c r="C324" s="65"/>
      <c r="D324" s="174"/>
      <c r="E324" s="174"/>
      <c r="F324" s="174"/>
      <c r="G324" s="174"/>
      <c r="H324" s="174"/>
      <c r="I324" s="174"/>
      <c r="J324" s="174"/>
      <c r="K324" s="174"/>
      <c r="L324" s="174"/>
      <c r="M324" s="174"/>
      <c r="N324" s="174"/>
      <c r="O324" s="174"/>
      <c r="P324" s="72"/>
      <c r="T324" s="65"/>
      <c r="U324" s="175"/>
      <c r="V324" s="173"/>
    </row>
    <row r="325" spans="2:22" s="11" customFormat="1" x14ac:dyDescent="0.2">
      <c r="B325" s="32"/>
      <c r="C325" s="65"/>
      <c r="D325" s="174"/>
      <c r="E325" s="174"/>
      <c r="F325" s="174"/>
      <c r="G325" s="174"/>
      <c r="H325" s="174"/>
      <c r="I325" s="174"/>
      <c r="J325" s="174"/>
      <c r="K325" s="174"/>
      <c r="L325" s="174"/>
      <c r="M325" s="174"/>
      <c r="N325" s="174"/>
      <c r="O325" s="174"/>
      <c r="P325" s="72"/>
      <c r="T325" s="65"/>
      <c r="U325" s="175"/>
      <c r="V325" s="173"/>
    </row>
    <row r="326" spans="2:22" s="11" customFormat="1" x14ac:dyDescent="0.2">
      <c r="B326" s="32"/>
      <c r="C326" s="65"/>
      <c r="D326" s="174"/>
      <c r="E326" s="174"/>
      <c r="F326" s="174"/>
      <c r="G326" s="174"/>
      <c r="H326" s="174"/>
      <c r="I326" s="174"/>
      <c r="J326" s="174"/>
      <c r="K326" s="174"/>
      <c r="L326" s="174"/>
      <c r="M326" s="174"/>
      <c r="N326" s="174"/>
      <c r="O326" s="174"/>
      <c r="P326" s="72"/>
      <c r="T326" s="65"/>
      <c r="U326" s="175"/>
      <c r="V326" s="173"/>
    </row>
    <row r="327" spans="2:22" s="11" customFormat="1" x14ac:dyDescent="0.2">
      <c r="B327" s="32"/>
      <c r="C327" s="65"/>
      <c r="D327" s="174"/>
      <c r="E327" s="174"/>
      <c r="F327" s="174"/>
      <c r="G327" s="174"/>
      <c r="H327" s="174"/>
      <c r="I327" s="174"/>
      <c r="J327" s="174"/>
      <c r="K327" s="174"/>
      <c r="L327" s="174"/>
      <c r="M327" s="174"/>
      <c r="N327" s="174"/>
      <c r="O327" s="174"/>
      <c r="P327" s="72"/>
      <c r="T327" s="65"/>
      <c r="U327" s="175"/>
      <c r="V327" s="173"/>
    </row>
    <row r="328" spans="2:22" s="11" customFormat="1" x14ac:dyDescent="0.2">
      <c r="B328" s="32"/>
      <c r="C328" s="65"/>
      <c r="D328" s="174"/>
      <c r="E328" s="174"/>
      <c r="F328" s="174"/>
      <c r="G328" s="174"/>
      <c r="H328" s="174"/>
      <c r="I328" s="174"/>
      <c r="J328" s="174"/>
      <c r="K328" s="174"/>
      <c r="L328" s="174"/>
      <c r="M328" s="174"/>
      <c r="N328" s="174"/>
      <c r="O328" s="174"/>
      <c r="P328" s="72"/>
      <c r="T328" s="65"/>
      <c r="U328" s="175"/>
      <c r="V328" s="173"/>
    </row>
    <row r="329" spans="2:22" s="11" customFormat="1" x14ac:dyDescent="0.2">
      <c r="B329" s="32"/>
      <c r="C329" s="65"/>
      <c r="D329" s="174"/>
      <c r="E329" s="174"/>
      <c r="F329" s="174"/>
      <c r="G329" s="174"/>
      <c r="H329" s="174"/>
      <c r="I329" s="174"/>
      <c r="J329" s="174"/>
      <c r="K329" s="174"/>
      <c r="L329" s="174"/>
      <c r="M329" s="174"/>
      <c r="N329" s="174"/>
      <c r="O329" s="174"/>
      <c r="P329" s="72"/>
      <c r="T329" s="65"/>
      <c r="U329" s="175"/>
      <c r="V329" s="173"/>
    </row>
    <row r="330" spans="2:22" s="11" customFormat="1" x14ac:dyDescent="0.2">
      <c r="B330" s="32"/>
      <c r="C330" s="65"/>
      <c r="D330" s="174"/>
      <c r="E330" s="174"/>
      <c r="F330" s="174"/>
      <c r="G330" s="174"/>
      <c r="H330" s="174"/>
      <c r="I330" s="174"/>
      <c r="J330" s="174"/>
      <c r="K330" s="174"/>
      <c r="L330" s="174"/>
      <c r="M330" s="174"/>
      <c r="N330" s="174"/>
      <c r="O330" s="174"/>
      <c r="P330" s="72"/>
      <c r="T330" s="65"/>
      <c r="U330" s="175"/>
      <c r="V330" s="173"/>
    </row>
    <row r="331" spans="2:22" s="11" customFormat="1" x14ac:dyDescent="0.2">
      <c r="B331" s="32"/>
      <c r="C331" s="65"/>
      <c r="D331" s="174"/>
      <c r="E331" s="174"/>
      <c r="F331" s="174"/>
      <c r="G331" s="174"/>
      <c r="H331" s="174"/>
      <c r="I331" s="174"/>
      <c r="J331" s="174"/>
      <c r="K331" s="174"/>
      <c r="L331" s="174"/>
      <c r="M331" s="174"/>
      <c r="N331" s="174"/>
      <c r="O331" s="174"/>
      <c r="P331" s="72"/>
      <c r="T331" s="65"/>
      <c r="U331" s="175"/>
      <c r="V331" s="173"/>
    </row>
    <row r="332" spans="2:22" s="11" customFormat="1" x14ac:dyDescent="0.2">
      <c r="B332" s="32"/>
      <c r="C332" s="65"/>
      <c r="D332" s="174"/>
      <c r="E332" s="174"/>
      <c r="F332" s="174"/>
      <c r="G332" s="174"/>
      <c r="H332" s="174"/>
      <c r="I332" s="174"/>
      <c r="J332" s="174"/>
      <c r="K332" s="174"/>
      <c r="L332" s="174"/>
      <c r="M332" s="174"/>
      <c r="N332" s="174"/>
      <c r="O332" s="174"/>
      <c r="P332" s="72"/>
      <c r="T332" s="65"/>
      <c r="U332" s="175"/>
      <c r="V332" s="173"/>
    </row>
    <row r="333" spans="2:22" s="11" customFormat="1" x14ac:dyDescent="0.2">
      <c r="B333" s="32"/>
      <c r="C333" s="65"/>
      <c r="D333" s="174"/>
      <c r="E333" s="174"/>
      <c r="F333" s="174"/>
      <c r="G333" s="174"/>
      <c r="H333" s="174"/>
      <c r="I333" s="174"/>
      <c r="J333" s="174"/>
      <c r="K333" s="174"/>
      <c r="L333" s="174"/>
      <c r="M333" s="174"/>
      <c r="N333" s="174"/>
      <c r="O333" s="174"/>
      <c r="P333" s="72"/>
      <c r="T333" s="65"/>
      <c r="U333" s="175"/>
      <c r="V333" s="173"/>
    </row>
    <row r="334" spans="2:22" s="11" customFormat="1" x14ac:dyDescent="0.2">
      <c r="B334" s="32"/>
      <c r="C334" s="65"/>
      <c r="D334" s="174"/>
      <c r="E334" s="174"/>
      <c r="F334" s="174"/>
      <c r="G334" s="174"/>
      <c r="H334" s="174"/>
      <c r="I334" s="174"/>
      <c r="J334" s="174"/>
      <c r="K334" s="174"/>
      <c r="L334" s="174"/>
      <c r="M334" s="174"/>
      <c r="N334" s="174"/>
      <c r="O334" s="174"/>
      <c r="P334" s="72"/>
      <c r="T334" s="65"/>
      <c r="U334" s="175"/>
      <c r="V334" s="173"/>
    </row>
    <row r="335" spans="2:22" s="11" customFormat="1" x14ac:dyDescent="0.2">
      <c r="B335" s="32"/>
      <c r="C335" s="65"/>
      <c r="D335" s="174"/>
      <c r="E335" s="174"/>
      <c r="F335" s="174"/>
      <c r="G335" s="174"/>
      <c r="H335" s="174"/>
      <c r="I335" s="174"/>
      <c r="J335" s="174"/>
      <c r="K335" s="174"/>
      <c r="L335" s="174"/>
      <c r="M335" s="174"/>
      <c r="N335" s="174"/>
      <c r="O335" s="174"/>
      <c r="P335" s="72"/>
      <c r="T335" s="65"/>
      <c r="U335" s="175"/>
      <c r="V335" s="173"/>
    </row>
    <row r="336" spans="2:22" s="11" customFormat="1" x14ac:dyDescent="0.2">
      <c r="B336" s="32"/>
      <c r="C336" s="65"/>
      <c r="D336" s="174"/>
      <c r="E336" s="174"/>
      <c r="F336" s="174"/>
      <c r="G336" s="174"/>
      <c r="H336" s="174"/>
      <c r="I336" s="174"/>
      <c r="J336" s="174"/>
      <c r="K336" s="174"/>
      <c r="L336" s="174"/>
      <c r="M336" s="174"/>
      <c r="N336" s="174"/>
      <c r="O336" s="174"/>
      <c r="P336" s="72"/>
      <c r="T336" s="65"/>
      <c r="U336" s="175"/>
      <c r="V336" s="173"/>
    </row>
    <row r="337" spans="2:22" s="11" customFormat="1" x14ac:dyDescent="0.2">
      <c r="B337" s="32"/>
      <c r="C337" s="65"/>
      <c r="D337" s="174"/>
      <c r="E337" s="174"/>
      <c r="F337" s="174"/>
      <c r="G337" s="174"/>
      <c r="H337" s="174"/>
      <c r="I337" s="174"/>
      <c r="J337" s="174"/>
      <c r="K337" s="174"/>
      <c r="L337" s="174"/>
      <c r="M337" s="174"/>
      <c r="N337" s="174"/>
      <c r="O337" s="174"/>
      <c r="P337" s="72"/>
      <c r="T337" s="65"/>
      <c r="U337" s="175"/>
      <c r="V337" s="173"/>
    </row>
    <row r="338" spans="2:22" s="11" customFormat="1" x14ac:dyDescent="0.2">
      <c r="B338" s="32"/>
      <c r="C338" s="65"/>
      <c r="D338" s="174"/>
      <c r="E338" s="174"/>
      <c r="F338" s="174"/>
      <c r="G338" s="174"/>
      <c r="H338" s="174"/>
      <c r="I338" s="174"/>
      <c r="J338" s="174"/>
      <c r="K338" s="174"/>
      <c r="L338" s="174"/>
      <c r="M338" s="174"/>
      <c r="N338" s="174"/>
      <c r="O338" s="174"/>
      <c r="P338" s="72"/>
      <c r="T338" s="65"/>
      <c r="U338" s="175"/>
      <c r="V338" s="173"/>
    </row>
    <row r="339" spans="2:22" s="11" customFormat="1" x14ac:dyDescent="0.2">
      <c r="B339" s="32"/>
      <c r="C339" s="65"/>
      <c r="D339" s="174"/>
      <c r="E339" s="174"/>
      <c r="F339" s="174"/>
      <c r="G339" s="174"/>
      <c r="H339" s="174"/>
      <c r="I339" s="174"/>
      <c r="J339" s="174"/>
      <c r="K339" s="174"/>
      <c r="L339" s="174"/>
      <c r="M339" s="174"/>
      <c r="N339" s="174"/>
      <c r="O339" s="174"/>
      <c r="P339" s="72"/>
      <c r="T339" s="65"/>
      <c r="U339" s="175"/>
      <c r="V339" s="173"/>
    </row>
    <row r="340" spans="2:22" s="11" customFormat="1" x14ac:dyDescent="0.2">
      <c r="B340" s="32"/>
      <c r="C340" s="65"/>
      <c r="D340" s="174"/>
      <c r="E340" s="174"/>
      <c r="F340" s="174"/>
      <c r="G340" s="174"/>
      <c r="H340" s="174"/>
      <c r="I340" s="174"/>
      <c r="J340" s="174"/>
      <c r="K340" s="174"/>
      <c r="L340" s="174"/>
      <c r="M340" s="174"/>
      <c r="N340" s="174"/>
      <c r="O340" s="174"/>
      <c r="P340" s="72"/>
      <c r="T340" s="65"/>
      <c r="U340" s="175"/>
      <c r="V340" s="173"/>
    </row>
    <row r="341" spans="2:22" s="11" customFormat="1" x14ac:dyDescent="0.2">
      <c r="B341" s="32"/>
      <c r="C341" s="65"/>
      <c r="D341" s="174"/>
      <c r="E341" s="174"/>
      <c r="F341" s="174"/>
      <c r="G341" s="174"/>
      <c r="H341" s="174"/>
      <c r="I341" s="174"/>
      <c r="J341" s="174"/>
      <c r="K341" s="174"/>
      <c r="L341" s="174"/>
      <c r="M341" s="174"/>
      <c r="N341" s="174"/>
      <c r="O341" s="174"/>
      <c r="P341" s="72"/>
      <c r="T341" s="65"/>
      <c r="U341" s="175"/>
      <c r="V341" s="173"/>
    </row>
    <row r="342" spans="2:22" s="11" customFormat="1" x14ac:dyDescent="0.2">
      <c r="B342" s="32"/>
      <c r="C342" s="65"/>
      <c r="D342" s="174"/>
      <c r="E342" s="174"/>
      <c r="F342" s="174"/>
      <c r="G342" s="174"/>
      <c r="H342" s="174"/>
      <c r="I342" s="174"/>
      <c r="J342" s="174"/>
      <c r="K342" s="174"/>
      <c r="L342" s="174"/>
      <c r="M342" s="174"/>
      <c r="N342" s="174"/>
      <c r="O342" s="174"/>
      <c r="P342" s="72"/>
      <c r="T342" s="65"/>
      <c r="U342" s="175"/>
      <c r="V342" s="173"/>
    </row>
    <row r="343" spans="2:22" s="11" customFormat="1" x14ac:dyDescent="0.2">
      <c r="B343" s="32"/>
      <c r="C343" s="65"/>
      <c r="D343" s="174"/>
      <c r="E343" s="174"/>
      <c r="F343" s="174"/>
      <c r="G343" s="174"/>
      <c r="H343" s="174"/>
      <c r="I343" s="174"/>
      <c r="J343" s="174"/>
      <c r="K343" s="174"/>
      <c r="L343" s="174"/>
      <c r="M343" s="174"/>
      <c r="N343" s="174"/>
      <c r="O343" s="174"/>
      <c r="P343" s="72"/>
      <c r="T343" s="65"/>
      <c r="U343" s="175"/>
      <c r="V343" s="173"/>
    </row>
    <row r="344" spans="2:22" s="11" customFormat="1" x14ac:dyDescent="0.2">
      <c r="B344" s="32"/>
      <c r="C344" s="65"/>
      <c r="D344" s="174"/>
      <c r="E344" s="174"/>
      <c r="F344" s="174"/>
      <c r="G344" s="174"/>
      <c r="H344" s="174"/>
      <c r="I344" s="174"/>
      <c r="J344" s="174"/>
      <c r="K344" s="174"/>
      <c r="L344" s="174"/>
      <c r="M344" s="174"/>
      <c r="N344" s="174"/>
      <c r="O344" s="174"/>
      <c r="P344" s="72"/>
      <c r="T344" s="65"/>
      <c r="U344" s="175"/>
      <c r="V344" s="173"/>
    </row>
    <row r="345" spans="2:22" s="11" customFormat="1" x14ac:dyDescent="0.2">
      <c r="B345" s="32"/>
      <c r="C345" s="65"/>
      <c r="D345" s="174"/>
      <c r="E345" s="174"/>
      <c r="F345" s="174"/>
      <c r="G345" s="174"/>
      <c r="H345" s="174"/>
      <c r="I345" s="174"/>
      <c r="J345" s="174"/>
      <c r="K345" s="174"/>
      <c r="L345" s="174"/>
      <c r="M345" s="174"/>
      <c r="N345" s="174"/>
      <c r="O345" s="174"/>
      <c r="P345" s="72"/>
      <c r="T345" s="65"/>
      <c r="U345" s="175"/>
      <c r="V345" s="173"/>
    </row>
    <row r="346" spans="2:22" s="11" customFormat="1" x14ac:dyDescent="0.2">
      <c r="B346" s="32"/>
      <c r="C346" s="65"/>
      <c r="D346" s="174"/>
      <c r="E346" s="174"/>
      <c r="F346" s="174"/>
      <c r="G346" s="174"/>
      <c r="H346" s="174"/>
      <c r="I346" s="174"/>
      <c r="J346" s="174"/>
      <c r="K346" s="174"/>
      <c r="L346" s="174"/>
      <c r="M346" s="174"/>
      <c r="N346" s="174"/>
      <c r="O346" s="174"/>
      <c r="P346" s="72"/>
      <c r="T346" s="65"/>
      <c r="U346" s="175"/>
      <c r="V346" s="173"/>
    </row>
    <row r="347" spans="2:22" s="11" customFormat="1" x14ac:dyDescent="0.2">
      <c r="B347" s="32"/>
      <c r="C347" s="65"/>
      <c r="D347" s="174"/>
      <c r="E347" s="174"/>
      <c r="F347" s="174"/>
      <c r="G347" s="174"/>
      <c r="H347" s="174"/>
      <c r="I347" s="174"/>
      <c r="J347" s="174"/>
      <c r="K347" s="174"/>
      <c r="L347" s="174"/>
      <c r="M347" s="174"/>
      <c r="N347" s="174"/>
      <c r="O347" s="174"/>
      <c r="P347" s="72"/>
      <c r="T347" s="65"/>
      <c r="U347" s="175"/>
      <c r="V347" s="173"/>
    </row>
    <row r="348" spans="2:22" s="11" customFormat="1" x14ac:dyDescent="0.2">
      <c r="B348" s="32"/>
      <c r="C348" s="65"/>
      <c r="D348" s="174"/>
      <c r="E348" s="174"/>
      <c r="F348" s="174"/>
      <c r="G348" s="174"/>
      <c r="H348" s="174"/>
      <c r="I348" s="174"/>
      <c r="J348" s="174"/>
      <c r="K348" s="174"/>
      <c r="L348" s="174"/>
      <c r="M348" s="174"/>
      <c r="N348" s="174"/>
      <c r="O348" s="174"/>
      <c r="P348" s="72"/>
      <c r="T348" s="65"/>
      <c r="U348" s="175"/>
      <c r="V348" s="173"/>
    </row>
    <row r="349" spans="2:22" s="11" customFormat="1" x14ac:dyDescent="0.2">
      <c r="B349" s="32"/>
      <c r="C349" s="65"/>
      <c r="D349" s="174"/>
      <c r="E349" s="174"/>
      <c r="F349" s="174"/>
      <c r="G349" s="174"/>
      <c r="H349" s="174"/>
      <c r="I349" s="174"/>
      <c r="J349" s="174"/>
      <c r="K349" s="174"/>
      <c r="L349" s="174"/>
      <c r="M349" s="174"/>
      <c r="N349" s="174"/>
      <c r="O349" s="174"/>
      <c r="P349" s="72"/>
      <c r="T349" s="65"/>
      <c r="U349" s="175"/>
      <c r="V349" s="173"/>
    </row>
    <row r="350" spans="2:22" s="11" customFormat="1" x14ac:dyDescent="0.2">
      <c r="B350" s="32"/>
      <c r="C350" s="65"/>
      <c r="D350" s="174"/>
      <c r="E350" s="174"/>
      <c r="F350" s="174"/>
      <c r="G350" s="174"/>
      <c r="H350" s="174"/>
      <c r="I350" s="174"/>
      <c r="J350" s="174"/>
      <c r="K350" s="174"/>
      <c r="L350" s="174"/>
      <c r="M350" s="174"/>
      <c r="N350" s="174"/>
      <c r="O350" s="174"/>
      <c r="P350" s="72"/>
      <c r="T350" s="65"/>
      <c r="U350" s="175"/>
      <c r="V350" s="173"/>
    </row>
    <row r="351" spans="2:22" s="11" customFormat="1" x14ac:dyDescent="0.2">
      <c r="B351" s="32"/>
      <c r="C351" s="65"/>
      <c r="D351" s="174"/>
      <c r="E351" s="174"/>
      <c r="F351" s="174"/>
      <c r="G351" s="174"/>
      <c r="H351" s="174"/>
      <c r="I351" s="174"/>
      <c r="J351" s="174"/>
      <c r="K351" s="174"/>
      <c r="L351" s="174"/>
      <c r="M351" s="174"/>
      <c r="N351" s="174"/>
      <c r="O351" s="174"/>
      <c r="P351" s="72"/>
      <c r="T351" s="65"/>
      <c r="U351" s="175"/>
      <c r="V351" s="173"/>
    </row>
    <row r="352" spans="2:22" s="11" customFormat="1" x14ac:dyDescent="0.2">
      <c r="B352" s="32"/>
      <c r="C352" s="65"/>
      <c r="D352" s="174"/>
      <c r="E352" s="174"/>
      <c r="F352" s="174"/>
      <c r="G352" s="174"/>
      <c r="H352" s="174"/>
      <c r="I352" s="174"/>
      <c r="J352" s="174"/>
      <c r="K352" s="174"/>
      <c r="L352" s="174"/>
      <c r="M352" s="174"/>
      <c r="N352" s="174"/>
      <c r="O352" s="174"/>
      <c r="P352" s="72"/>
      <c r="T352" s="65"/>
      <c r="U352" s="175"/>
      <c r="V352" s="173"/>
    </row>
    <row r="353" spans="2:22" s="11" customFormat="1" x14ac:dyDescent="0.2">
      <c r="B353" s="32"/>
      <c r="C353" s="65"/>
      <c r="D353" s="174"/>
      <c r="E353" s="174"/>
      <c r="F353" s="174"/>
      <c r="G353" s="174"/>
      <c r="H353" s="174"/>
      <c r="I353" s="174"/>
      <c r="J353" s="174"/>
      <c r="K353" s="174"/>
      <c r="L353" s="174"/>
      <c r="M353" s="174"/>
      <c r="N353" s="174"/>
      <c r="O353" s="174"/>
      <c r="P353" s="72"/>
      <c r="T353" s="65"/>
      <c r="U353" s="175"/>
      <c r="V353" s="173"/>
    </row>
    <row r="354" spans="2:22" s="11" customFormat="1" x14ac:dyDescent="0.2">
      <c r="B354" s="32"/>
      <c r="C354" s="65"/>
      <c r="D354" s="174"/>
      <c r="E354" s="174"/>
      <c r="F354" s="174"/>
      <c r="G354" s="174"/>
      <c r="H354" s="174"/>
      <c r="I354" s="174"/>
      <c r="J354" s="174"/>
      <c r="K354" s="174"/>
      <c r="L354" s="174"/>
      <c r="M354" s="174"/>
      <c r="N354" s="174"/>
      <c r="O354" s="174"/>
      <c r="P354" s="72"/>
      <c r="T354" s="65"/>
      <c r="U354" s="175"/>
      <c r="V354" s="173"/>
    </row>
    <row r="355" spans="2:22" s="11" customFormat="1" x14ac:dyDescent="0.2">
      <c r="B355" s="32"/>
      <c r="C355" s="65"/>
      <c r="D355" s="174"/>
      <c r="E355" s="174"/>
      <c r="F355" s="174"/>
      <c r="G355" s="174"/>
      <c r="H355" s="174"/>
      <c r="I355" s="174"/>
      <c r="J355" s="174"/>
      <c r="K355" s="174"/>
      <c r="L355" s="174"/>
      <c r="M355" s="174"/>
      <c r="N355" s="174"/>
      <c r="O355" s="174"/>
      <c r="P355" s="72"/>
      <c r="T355" s="65"/>
      <c r="U355" s="175"/>
      <c r="V355" s="173"/>
    </row>
    <row r="356" spans="2:22" s="11" customFormat="1" x14ac:dyDescent="0.2">
      <c r="B356" s="32"/>
      <c r="C356" s="65"/>
      <c r="D356" s="174"/>
      <c r="E356" s="174"/>
      <c r="F356" s="174"/>
      <c r="G356" s="174"/>
      <c r="H356" s="174"/>
      <c r="I356" s="174"/>
      <c r="J356" s="174"/>
      <c r="K356" s="174"/>
      <c r="L356" s="174"/>
      <c r="M356" s="174"/>
      <c r="N356" s="174"/>
      <c r="O356" s="174"/>
      <c r="P356" s="72"/>
      <c r="T356" s="65"/>
      <c r="U356" s="175"/>
      <c r="V356" s="173"/>
    </row>
    <row r="357" spans="2:22" s="11" customFormat="1" x14ac:dyDescent="0.2">
      <c r="B357" s="32"/>
      <c r="C357" s="65"/>
      <c r="D357" s="174"/>
      <c r="E357" s="174"/>
      <c r="F357" s="174"/>
      <c r="G357" s="174"/>
      <c r="H357" s="174"/>
      <c r="I357" s="174"/>
      <c r="J357" s="174"/>
      <c r="K357" s="174"/>
      <c r="L357" s="174"/>
      <c r="M357" s="174"/>
      <c r="N357" s="174"/>
      <c r="O357" s="174"/>
      <c r="P357" s="72"/>
      <c r="T357" s="65"/>
      <c r="U357" s="175"/>
      <c r="V357" s="173"/>
    </row>
    <row r="358" spans="2:22" s="11" customFormat="1" x14ac:dyDescent="0.2">
      <c r="B358" s="32"/>
      <c r="C358" s="65"/>
      <c r="D358" s="174"/>
      <c r="E358" s="174"/>
      <c r="F358" s="174"/>
      <c r="G358" s="174"/>
      <c r="H358" s="174"/>
      <c r="I358" s="174"/>
      <c r="J358" s="174"/>
      <c r="K358" s="174"/>
      <c r="L358" s="174"/>
      <c r="M358" s="174"/>
      <c r="N358" s="174"/>
      <c r="O358" s="174"/>
      <c r="P358" s="72"/>
      <c r="T358" s="65"/>
      <c r="U358" s="175"/>
      <c r="V358" s="173"/>
    </row>
    <row r="359" spans="2:22" s="11" customFormat="1" x14ac:dyDescent="0.2">
      <c r="B359" s="32"/>
      <c r="C359" s="65"/>
      <c r="D359" s="174"/>
      <c r="E359" s="174"/>
      <c r="F359" s="174"/>
      <c r="G359" s="174"/>
      <c r="H359" s="174"/>
      <c r="I359" s="174"/>
      <c r="J359" s="174"/>
      <c r="K359" s="174"/>
      <c r="L359" s="174"/>
      <c r="M359" s="174"/>
      <c r="N359" s="174"/>
      <c r="O359" s="174"/>
      <c r="P359" s="72"/>
      <c r="T359" s="65"/>
      <c r="U359" s="175"/>
      <c r="V359" s="173"/>
    </row>
    <row r="360" spans="2:22" s="11" customFormat="1" x14ac:dyDescent="0.2">
      <c r="B360" s="32"/>
      <c r="C360" s="65"/>
      <c r="D360" s="174"/>
      <c r="E360" s="174"/>
      <c r="F360" s="174"/>
      <c r="G360" s="174"/>
      <c r="H360" s="174"/>
      <c r="I360" s="174"/>
      <c r="J360" s="174"/>
      <c r="K360" s="174"/>
      <c r="L360" s="174"/>
      <c r="M360" s="174"/>
      <c r="N360" s="174"/>
      <c r="O360" s="174"/>
      <c r="P360" s="72"/>
      <c r="T360" s="65"/>
      <c r="U360" s="175"/>
      <c r="V360" s="173"/>
    </row>
    <row r="361" spans="2:22" s="11" customFormat="1" x14ac:dyDescent="0.2">
      <c r="B361" s="32"/>
      <c r="C361" s="65"/>
      <c r="D361" s="174"/>
      <c r="E361" s="174"/>
      <c r="F361" s="174"/>
      <c r="G361" s="174"/>
      <c r="H361" s="174"/>
      <c r="I361" s="174"/>
      <c r="J361" s="174"/>
      <c r="K361" s="174"/>
      <c r="L361" s="174"/>
      <c r="M361" s="174"/>
      <c r="N361" s="174"/>
      <c r="O361" s="174"/>
      <c r="P361" s="72"/>
      <c r="T361" s="65"/>
      <c r="U361" s="175"/>
      <c r="V361" s="173"/>
    </row>
    <row r="362" spans="2:22" s="11" customFormat="1" x14ac:dyDescent="0.2">
      <c r="B362" s="32"/>
      <c r="C362" s="65"/>
      <c r="D362" s="174"/>
      <c r="E362" s="174"/>
      <c r="F362" s="174"/>
      <c r="G362" s="174"/>
      <c r="H362" s="174"/>
      <c r="I362" s="174"/>
      <c r="J362" s="174"/>
      <c r="K362" s="174"/>
      <c r="L362" s="174"/>
      <c r="M362" s="174"/>
      <c r="N362" s="174"/>
      <c r="O362" s="174"/>
      <c r="P362" s="72"/>
      <c r="T362" s="65"/>
      <c r="U362" s="175"/>
      <c r="V362" s="173"/>
    </row>
    <row r="363" spans="2:22" s="11" customFormat="1" x14ac:dyDescent="0.2">
      <c r="B363" s="32"/>
      <c r="C363" s="65"/>
      <c r="D363" s="174"/>
      <c r="E363" s="174"/>
      <c r="F363" s="174"/>
      <c r="G363" s="174"/>
      <c r="H363" s="174"/>
      <c r="I363" s="174"/>
      <c r="J363" s="174"/>
      <c r="K363" s="174"/>
      <c r="L363" s="174"/>
      <c r="M363" s="174"/>
      <c r="N363" s="174"/>
      <c r="O363" s="174"/>
      <c r="P363" s="72"/>
      <c r="T363" s="65"/>
      <c r="U363" s="175"/>
      <c r="V363" s="173"/>
    </row>
    <row r="364" spans="2:22" s="11" customFormat="1" x14ac:dyDescent="0.2">
      <c r="B364" s="32"/>
      <c r="C364" s="65"/>
      <c r="D364" s="174"/>
      <c r="E364" s="174"/>
      <c r="F364" s="174"/>
      <c r="G364" s="174"/>
      <c r="H364" s="174"/>
      <c r="I364" s="174"/>
      <c r="J364" s="174"/>
      <c r="K364" s="174"/>
      <c r="L364" s="174"/>
      <c r="M364" s="174"/>
      <c r="N364" s="174"/>
      <c r="O364" s="174"/>
      <c r="P364" s="72"/>
      <c r="T364" s="65"/>
      <c r="U364" s="175"/>
      <c r="V364" s="173"/>
    </row>
    <row r="365" spans="2:22" s="11" customFormat="1" x14ac:dyDescent="0.2">
      <c r="B365" s="32"/>
      <c r="C365" s="65"/>
      <c r="D365" s="174"/>
      <c r="E365" s="174"/>
      <c r="F365" s="174"/>
      <c r="G365" s="174"/>
      <c r="H365" s="174"/>
      <c r="I365" s="174"/>
      <c r="J365" s="174"/>
      <c r="K365" s="174"/>
      <c r="L365" s="174"/>
      <c r="M365" s="174"/>
      <c r="N365" s="174"/>
      <c r="O365" s="174"/>
      <c r="P365" s="72"/>
      <c r="T365" s="65"/>
      <c r="U365" s="175"/>
      <c r="V365" s="173"/>
    </row>
    <row r="366" spans="2:22" s="11" customFormat="1" x14ac:dyDescent="0.2">
      <c r="B366" s="32"/>
      <c r="C366" s="65"/>
      <c r="D366" s="174"/>
      <c r="E366" s="174"/>
      <c r="F366" s="174"/>
      <c r="G366" s="174"/>
      <c r="H366" s="174"/>
      <c r="I366" s="174"/>
      <c r="J366" s="174"/>
      <c r="K366" s="174"/>
      <c r="L366" s="174"/>
      <c r="M366" s="174"/>
      <c r="N366" s="174"/>
      <c r="O366" s="174"/>
      <c r="P366" s="72"/>
      <c r="T366" s="65"/>
      <c r="U366" s="175"/>
      <c r="V366" s="173"/>
    </row>
    <row r="367" spans="2:22" s="11" customFormat="1" x14ac:dyDescent="0.2">
      <c r="B367" s="32"/>
      <c r="C367" s="65"/>
      <c r="D367" s="174"/>
      <c r="E367" s="174"/>
      <c r="F367" s="174"/>
      <c r="G367" s="174"/>
      <c r="H367" s="174"/>
      <c r="I367" s="174"/>
      <c r="J367" s="174"/>
      <c r="K367" s="174"/>
      <c r="L367" s="174"/>
      <c r="M367" s="174"/>
      <c r="N367" s="174"/>
      <c r="O367" s="174"/>
      <c r="P367" s="72"/>
      <c r="T367" s="65"/>
      <c r="U367" s="175"/>
      <c r="V367" s="173"/>
    </row>
    <row r="368" spans="2:22" s="11" customFormat="1" x14ac:dyDescent="0.2">
      <c r="B368" s="32"/>
      <c r="C368" s="65"/>
      <c r="D368" s="174"/>
      <c r="E368" s="174"/>
      <c r="F368" s="174"/>
      <c r="G368" s="174"/>
      <c r="H368" s="174"/>
      <c r="I368" s="174"/>
      <c r="J368" s="174"/>
      <c r="K368" s="174"/>
      <c r="L368" s="174"/>
      <c r="M368" s="174"/>
      <c r="N368" s="174"/>
      <c r="O368" s="174"/>
      <c r="P368" s="72"/>
      <c r="T368" s="65"/>
      <c r="U368" s="175"/>
      <c r="V368" s="173"/>
    </row>
    <row r="369" spans="2:22" s="11" customFormat="1" x14ac:dyDescent="0.2">
      <c r="B369" s="32"/>
      <c r="C369" s="65"/>
      <c r="D369" s="174"/>
      <c r="E369" s="174"/>
      <c r="F369" s="174"/>
      <c r="G369" s="174"/>
      <c r="H369" s="174"/>
      <c r="I369" s="174"/>
      <c r="J369" s="174"/>
      <c r="K369" s="174"/>
      <c r="L369" s="174"/>
      <c r="M369" s="174"/>
      <c r="N369" s="174"/>
      <c r="O369" s="174"/>
      <c r="P369" s="72"/>
      <c r="T369" s="65"/>
      <c r="U369" s="175"/>
      <c r="V369" s="173"/>
    </row>
    <row r="370" spans="2:22" s="11" customFormat="1" x14ac:dyDescent="0.2">
      <c r="B370" s="32"/>
      <c r="C370" s="65"/>
      <c r="D370" s="174"/>
      <c r="E370" s="174"/>
      <c r="F370" s="174"/>
      <c r="G370" s="174"/>
      <c r="H370" s="174"/>
      <c r="I370" s="174"/>
      <c r="J370" s="174"/>
      <c r="K370" s="174"/>
      <c r="L370" s="174"/>
      <c r="M370" s="174"/>
      <c r="N370" s="174"/>
      <c r="O370" s="174"/>
      <c r="P370" s="72"/>
      <c r="T370" s="65"/>
      <c r="U370" s="175"/>
      <c r="V370" s="173"/>
    </row>
    <row r="371" spans="2:22" s="11" customFormat="1" x14ac:dyDescent="0.2">
      <c r="B371" s="32"/>
      <c r="C371" s="65"/>
      <c r="D371" s="174"/>
      <c r="E371" s="174"/>
      <c r="F371" s="174"/>
      <c r="G371" s="174"/>
      <c r="H371" s="174"/>
      <c r="I371" s="174"/>
      <c r="J371" s="174"/>
      <c r="K371" s="174"/>
      <c r="L371" s="174"/>
      <c r="M371" s="174"/>
      <c r="N371" s="174"/>
      <c r="O371" s="174"/>
      <c r="P371" s="72"/>
      <c r="T371" s="65"/>
      <c r="U371" s="175"/>
      <c r="V371" s="173"/>
    </row>
    <row r="372" spans="2:22" s="11" customFormat="1" x14ac:dyDescent="0.2">
      <c r="B372" s="32"/>
      <c r="C372" s="65"/>
      <c r="D372" s="174"/>
      <c r="E372" s="174"/>
      <c r="F372" s="174"/>
      <c r="G372" s="174"/>
      <c r="H372" s="174"/>
      <c r="I372" s="174"/>
      <c r="J372" s="174"/>
      <c r="K372" s="174"/>
      <c r="L372" s="174"/>
      <c r="M372" s="174"/>
      <c r="N372" s="174"/>
      <c r="O372" s="174"/>
      <c r="P372" s="72"/>
      <c r="T372" s="65"/>
      <c r="U372" s="175"/>
      <c r="V372" s="173"/>
    </row>
    <row r="373" spans="2:22" s="11" customFormat="1" x14ac:dyDescent="0.2">
      <c r="B373" s="32"/>
      <c r="C373" s="65"/>
      <c r="D373" s="174"/>
      <c r="E373" s="174"/>
      <c r="F373" s="174"/>
      <c r="G373" s="174"/>
      <c r="H373" s="174"/>
      <c r="I373" s="174"/>
      <c r="J373" s="174"/>
      <c r="K373" s="174"/>
      <c r="L373" s="174"/>
      <c r="M373" s="174"/>
      <c r="N373" s="174"/>
      <c r="O373" s="174"/>
      <c r="P373" s="72"/>
      <c r="T373" s="65"/>
      <c r="U373" s="175"/>
      <c r="V373" s="173"/>
    </row>
    <row r="374" spans="2:22" s="11" customFormat="1" x14ac:dyDescent="0.2">
      <c r="B374" s="32"/>
      <c r="C374" s="65"/>
      <c r="D374" s="174"/>
      <c r="E374" s="174"/>
      <c r="F374" s="174"/>
      <c r="G374" s="174"/>
      <c r="H374" s="174"/>
      <c r="I374" s="174"/>
      <c r="J374" s="174"/>
      <c r="K374" s="174"/>
      <c r="L374" s="174"/>
      <c r="M374" s="174"/>
      <c r="N374" s="174"/>
      <c r="O374" s="174"/>
      <c r="P374" s="72"/>
      <c r="T374" s="65"/>
      <c r="U374" s="175"/>
      <c r="V374" s="173"/>
    </row>
    <row r="375" spans="2:22" s="11" customFormat="1" x14ac:dyDescent="0.2">
      <c r="B375" s="32"/>
      <c r="C375" s="65"/>
      <c r="D375" s="174"/>
      <c r="E375" s="174"/>
      <c r="F375" s="174"/>
      <c r="G375" s="174"/>
      <c r="H375" s="174"/>
      <c r="I375" s="174"/>
      <c r="J375" s="174"/>
      <c r="K375" s="174"/>
      <c r="L375" s="174"/>
      <c r="M375" s="174"/>
      <c r="N375" s="174"/>
      <c r="O375" s="174"/>
      <c r="P375" s="72"/>
      <c r="T375" s="65"/>
      <c r="U375" s="175"/>
      <c r="V375" s="173"/>
    </row>
    <row r="376" spans="2:22" s="11" customFormat="1" x14ac:dyDescent="0.2">
      <c r="B376" s="32"/>
      <c r="C376" s="65"/>
      <c r="D376" s="174"/>
      <c r="E376" s="174"/>
      <c r="F376" s="174"/>
      <c r="G376" s="174"/>
      <c r="H376" s="174"/>
      <c r="I376" s="174"/>
      <c r="J376" s="174"/>
      <c r="K376" s="174"/>
      <c r="L376" s="174"/>
      <c r="M376" s="174"/>
      <c r="N376" s="174"/>
      <c r="O376" s="174"/>
      <c r="P376" s="72"/>
      <c r="T376" s="65"/>
      <c r="U376" s="175"/>
      <c r="V376" s="173"/>
    </row>
    <row r="377" spans="2:22" s="11" customFormat="1" x14ac:dyDescent="0.2">
      <c r="B377" s="32"/>
      <c r="C377" s="65"/>
      <c r="D377" s="174"/>
      <c r="E377" s="174"/>
      <c r="F377" s="174"/>
      <c r="G377" s="174"/>
      <c r="H377" s="174"/>
      <c r="I377" s="174"/>
      <c r="J377" s="174"/>
      <c r="K377" s="174"/>
      <c r="L377" s="174"/>
      <c r="M377" s="174"/>
      <c r="N377" s="174"/>
      <c r="O377" s="174"/>
      <c r="P377" s="72"/>
      <c r="T377" s="65"/>
      <c r="U377" s="175"/>
      <c r="V377" s="173"/>
    </row>
    <row r="378" spans="2:22" s="11" customFormat="1" x14ac:dyDescent="0.2">
      <c r="B378" s="32"/>
      <c r="C378" s="65"/>
      <c r="D378" s="174"/>
      <c r="E378" s="174"/>
      <c r="F378" s="174"/>
      <c r="G378" s="174"/>
      <c r="H378" s="174"/>
      <c r="I378" s="174"/>
      <c r="J378" s="174"/>
      <c r="K378" s="174"/>
      <c r="L378" s="174"/>
      <c r="M378" s="174"/>
      <c r="N378" s="174"/>
      <c r="O378" s="174"/>
      <c r="P378" s="72"/>
      <c r="T378" s="65"/>
      <c r="U378" s="175"/>
      <c r="V378" s="173"/>
    </row>
    <row r="379" spans="2:22" s="11" customFormat="1" x14ac:dyDescent="0.2">
      <c r="B379" s="32"/>
      <c r="C379" s="65"/>
      <c r="D379" s="174"/>
      <c r="E379" s="174"/>
      <c r="F379" s="174"/>
      <c r="G379" s="174"/>
      <c r="H379" s="174"/>
      <c r="I379" s="174"/>
      <c r="J379" s="174"/>
      <c r="K379" s="174"/>
      <c r="L379" s="174"/>
      <c r="M379" s="174"/>
      <c r="N379" s="174"/>
      <c r="O379" s="174"/>
      <c r="P379" s="72"/>
      <c r="T379" s="65"/>
      <c r="U379" s="175"/>
      <c r="V379" s="173"/>
    </row>
    <row r="380" spans="2:22" s="11" customFormat="1" x14ac:dyDescent="0.2">
      <c r="B380" s="32"/>
      <c r="C380" s="65"/>
      <c r="D380" s="174"/>
      <c r="E380" s="174"/>
      <c r="F380" s="174"/>
      <c r="G380" s="174"/>
      <c r="H380" s="174"/>
      <c r="I380" s="174"/>
      <c r="J380" s="174"/>
      <c r="K380" s="174"/>
      <c r="L380" s="174"/>
      <c r="M380" s="174"/>
      <c r="N380" s="174"/>
      <c r="O380" s="174"/>
      <c r="P380" s="72"/>
      <c r="T380" s="65"/>
      <c r="U380" s="175"/>
      <c r="V380" s="173"/>
    </row>
    <row r="381" spans="2:22" s="11" customFormat="1" x14ac:dyDescent="0.2">
      <c r="B381" s="32"/>
      <c r="C381" s="65"/>
      <c r="D381" s="174"/>
      <c r="E381" s="174"/>
      <c r="F381" s="174"/>
      <c r="G381" s="174"/>
      <c r="H381" s="174"/>
      <c r="I381" s="174"/>
      <c r="J381" s="174"/>
      <c r="K381" s="174"/>
      <c r="L381" s="174"/>
      <c r="M381" s="174"/>
      <c r="N381" s="174"/>
      <c r="O381" s="174"/>
      <c r="P381" s="72"/>
      <c r="T381" s="65"/>
      <c r="U381" s="175"/>
      <c r="V381" s="173"/>
    </row>
    <row r="382" spans="2:22" s="11" customFormat="1" x14ac:dyDescent="0.2">
      <c r="B382" s="32"/>
      <c r="C382" s="65"/>
      <c r="D382" s="174"/>
      <c r="E382" s="174"/>
      <c r="F382" s="174"/>
      <c r="G382" s="174"/>
      <c r="H382" s="174"/>
      <c r="I382" s="174"/>
      <c r="J382" s="174"/>
      <c r="K382" s="174"/>
      <c r="L382" s="174"/>
      <c r="M382" s="174"/>
      <c r="N382" s="174"/>
      <c r="O382" s="174"/>
      <c r="P382" s="72"/>
      <c r="T382" s="65"/>
      <c r="U382" s="175"/>
      <c r="V382" s="173"/>
    </row>
    <row r="383" spans="2:22" s="11" customFormat="1" x14ac:dyDescent="0.2">
      <c r="B383" s="32"/>
      <c r="C383" s="65"/>
      <c r="D383" s="174"/>
      <c r="E383" s="174"/>
      <c r="F383" s="174"/>
      <c r="G383" s="174"/>
      <c r="H383" s="174"/>
      <c r="I383" s="174"/>
      <c r="J383" s="174"/>
      <c r="K383" s="174"/>
      <c r="L383" s="174"/>
      <c r="M383" s="174"/>
      <c r="N383" s="174"/>
      <c r="O383" s="174"/>
      <c r="P383" s="72"/>
      <c r="T383" s="65"/>
      <c r="U383" s="175"/>
      <c r="V383" s="173"/>
    </row>
    <row r="384" spans="2:22" x14ac:dyDescent="0.2">
      <c r="B384" s="163"/>
      <c r="C384" s="164"/>
      <c r="D384" s="165"/>
      <c r="E384" s="165"/>
      <c r="F384" s="165"/>
      <c r="G384" s="165"/>
      <c r="H384" s="165"/>
      <c r="I384" s="165"/>
      <c r="J384" s="165"/>
      <c r="K384" s="165"/>
      <c r="L384" s="165"/>
      <c r="M384" s="165"/>
      <c r="N384" s="165"/>
      <c r="O384" s="165"/>
      <c r="P384" s="166"/>
      <c r="T384" s="164"/>
      <c r="U384" s="167"/>
    </row>
    <row r="385" spans="2:21" x14ac:dyDescent="0.2">
      <c r="B385" s="16"/>
      <c r="C385" s="9"/>
      <c r="D385" s="6"/>
      <c r="E385" s="6"/>
      <c r="F385" s="6"/>
      <c r="G385" s="6"/>
      <c r="H385" s="6"/>
      <c r="I385" s="6"/>
      <c r="J385" s="6"/>
      <c r="K385" s="6"/>
      <c r="L385" s="6"/>
      <c r="M385" s="6"/>
      <c r="N385" s="6"/>
      <c r="O385" s="6"/>
      <c r="P385" s="4"/>
      <c r="T385" s="9"/>
      <c r="U385" s="5"/>
    </row>
    <row r="386" spans="2:21" x14ac:dyDescent="0.2">
      <c r="M386" s="6"/>
    </row>
  </sheetData>
  <mergeCells count="4">
    <mergeCell ref="B4:F4"/>
    <mergeCell ref="T15:U15"/>
    <mergeCell ref="B2:P2"/>
    <mergeCell ref="H15:I15"/>
  </mergeCells>
  <pageMargins left="0.7" right="0.7" top="0.75" bottom="0.75" header="0.3" footer="0.3"/>
  <pageSetup orientation="portrait" r:id="rId1"/>
  <headerFooter>
    <oddHeader>&amp;C
&amp;G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24571D"/>
  </sheetPr>
  <dimension ref="B2:U29"/>
  <sheetViews>
    <sheetView showGridLines="0" zoomScale="106" zoomScaleNormal="106" workbookViewId="0">
      <selection activeCell="B25" sqref="B25"/>
    </sheetView>
  </sheetViews>
  <sheetFormatPr defaultColWidth="8.88671875" defaultRowHeight="11.4" x14ac:dyDescent="0.2"/>
  <cols>
    <col min="1" max="1" width="8.88671875" style="1"/>
    <col min="2" max="7" width="24.33203125" style="1" customWidth="1"/>
    <col min="8" max="8" width="29.109375" style="1" bestFit="1" customWidth="1"/>
    <col min="9" max="13" width="24.33203125" style="1" customWidth="1"/>
    <col min="14" max="14" width="17.33203125" style="1" bestFit="1" customWidth="1"/>
    <col min="15" max="15" width="11" style="1" bestFit="1" customWidth="1"/>
    <col min="16" max="16" width="12" style="1" bestFit="1" customWidth="1"/>
    <col min="17" max="17" width="8.88671875" style="1"/>
    <col min="18" max="18" width="10.44140625" style="1" bestFit="1" customWidth="1"/>
    <col min="19" max="19" width="11.6640625" style="1" bestFit="1" customWidth="1"/>
    <col min="20" max="20" width="10.5546875" style="1" bestFit="1" customWidth="1"/>
    <col min="21" max="16384" width="8.88671875" style="1"/>
  </cols>
  <sheetData>
    <row r="2" spans="2:19" ht="16.95" customHeight="1" x14ac:dyDescent="0.2">
      <c r="B2" s="198" t="s">
        <v>14</v>
      </c>
      <c r="C2" s="198"/>
      <c r="D2" s="198"/>
      <c r="E2" s="198"/>
      <c r="F2" s="198"/>
      <c r="G2" s="198"/>
      <c r="H2" s="198"/>
      <c r="I2" s="198"/>
      <c r="J2" s="198"/>
      <c r="K2" s="198"/>
      <c r="L2" s="198"/>
      <c r="M2" s="198"/>
      <c r="N2" s="198"/>
    </row>
    <row r="4" spans="2:19" x14ac:dyDescent="0.2">
      <c r="B4" s="196" t="s">
        <v>19</v>
      </c>
      <c r="C4" s="196"/>
      <c r="D4" s="196"/>
      <c r="E4" s="196"/>
      <c r="F4" s="196"/>
    </row>
    <row r="6" spans="2:19" x14ac:dyDescent="0.2">
      <c r="B6" s="3" t="s">
        <v>17</v>
      </c>
      <c r="C6" s="3">
        <v>12</v>
      </c>
      <c r="E6" s="17" t="s">
        <v>7</v>
      </c>
      <c r="F6" s="14">
        <f>XIRR(S17:S29,R17:R29)</f>
        <v>0.30306856036186225</v>
      </c>
    </row>
    <row r="8" spans="2:19" x14ac:dyDescent="0.2">
      <c r="B8" s="3" t="s">
        <v>2</v>
      </c>
      <c r="C8" s="5">
        <f>Input!E73</f>
        <v>10000</v>
      </c>
    </row>
    <row r="9" spans="2:19" x14ac:dyDescent="0.2">
      <c r="B9" s="3" t="s">
        <v>110</v>
      </c>
      <c r="C9" s="5">
        <f>-SUM(E18:E29)</f>
        <v>1116.1407076496046</v>
      </c>
    </row>
    <row r="10" spans="2:19" x14ac:dyDescent="0.2">
      <c r="B10" s="3" t="s">
        <v>8</v>
      </c>
      <c r="C10" s="5">
        <f>SUM($M$17:$M$29)</f>
        <v>400</v>
      </c>
    </row>
    <row r="11" spans="2:19" x14ac:dyDescent="0.2">
      <c r="B11" s="3" t="s">
        <v>41</v>
      </c>
      <c r="C11" s="9">
        <f>EDATE(Input!E79,C6)</f>
        <v>45687</v>
      </c>
      <c r="S11" s="8"/>
    </row>
    <row r="12" spans="2:19" x14ac:dyDescent="0.2">
      <c r="S12" s="8"/>
    </row>
    <row r="13" spans="2:19" x14ac:dyDescent="0.2">
      <c r="I13" s="2"/>
      <c r="O13" s="15"/>
      <c r="S13" s="7"/>
    </row>
    <row r="14" spans="2:19" x14ac:dyDescent="0.2">
      <c r="F14" s="12"/>
      <c r="O14" s="7"/>
      <c r="P14" s="8"/>
      <c r="Q14" s="8"/>
    </row>
    <row r="15" spans="2:19" x14ac:dyDescent="0.2">
      <c r="M15" s="12"/>
      <c r="R15" s="197" t="s">
        <v>38</v>
      </c>
      <c r="S15" s="197"/>
    </row>
    <row r="16" spans="2:19" x14ac:dyDescent="0.2">
      <c r="B16" s="13" t="s">
        <v>3</v>
      </c>
      <c r="C16" s="13" t="s">
        <v>4</v>
      </c>
      <c r="D16" s="13" t="s">
        <v>5</v>
      </c>
      <c r="E16" s="13" t="s">
        <v>110</v>
      </c>
      <c r="F16" s="13" t="s">
        <v>10</v>
      </c>
      <c r="G16" s="13" t="s">
        <v>111</v>
      </c>
      <c r="H16" s="13" t="s">
        <v>6</v>
      </c>
      <c r="I16" s="13" t="s">
        <v>11</v>
      </c>
      <c r="J16" s="13" t="s">
        <v>33</v>
      </c>
      <c r="K16" s="13" t="s">
        <v>34</v>
      </c>
      <c r="L16" s="13" t="s">
        <v>54</v>
      </c>
      <c r="M16" s="13" t="s">
        <v>15</v>
      </c>
      <c r="N16" s="13" t="s">
        <v>16</v>
      </c>
      <c r="R16" s="13" t="s">
        <v>39</v>
      </c>
      <c r="S16" s="13" t="s">
        <v>40</v>
      </c>
    </row>
    <row r="17" spans="2:21" x14ac:dyDescent="0.2">
      <c r="B17" s="16">
        <v>0</v>
      </c>
      <c r="C17" s="162">
        <f>Input!E78</f>
        <v>45292</v>
      </c>
      <c r="D17" s="6">
        <v>0</v>
      </c>
      <c r="E17" s="6">
        <v>0</v>
      </c>
      <c r="F17" s="6">
        <v>0</v>
      </c>
      <c r="G17" s="6">
        <v>0</v>
      </c>
      <c r="H17" s="6">
        <v>0</v>
      </c>
      <c r="I17" s="6">
        <v>0</v>
      </c>
      <c r="J17" s="6" t="str">
        <f>IF(AND(Input!$H$73="Upfront Payment",B17=0),Input!$J$73,"")</f>
        <v/>
      </c>
      <c r="K17" s="6" t="str">
        <f>IF(AND(Input!$H$74="Upfront Payment",B17=0),Input!$J$74,"")</f>
        <v/>
      </c>
      <c r="L17" s="6">
        <f>IF(AND(Input!$H$75="Upfront Payment",B17=0),Input!$J$75,"")</f>
        <v>100</v>
      </c>
      <c r="M17" s="6">
        <f t="shared" ref="M17:M29" si="0">IF(B17&lt;&gt;"",SUM(J17:L17),"")</f>
        <v>100</v>
      </c>
      <c r="N17" s="4">
        <f t="shared" ref="N17:N29" si="1">IF(B17&lt;&gt;"",(-H17+M17),"")</f>
        <v>100</v>
      </c>
      <c r="R17" s="9">
        <f>+C17</f>
        <v>45292</v>
      </c>
      <c r="S17" s="5">
        <f>-(C8-N17)</f>
        <v>-9900</v>
      </c>
      <c r="T17" s="140"/>
      <c r="U17" s="8"/>
    </row>
    <row r="18" spans="2:21" x14ac:dyDescent="0.2">
      <c r="B18" s="16">
        <v>1</v>
      </c>
      <c r="C18" s="162">
        <f>Input!E79</f>
        <v>45321</v>
      </c>
      <c r="D18" s="6">
        <f>IFERROR(PPMT(Input!$E$74/12,B18,$C$6,Input!$E$73)," ")</f>
        <v>-759.67839230413358</v>
      </c>
      <c r="E18" s="6">
        <f>IFERROR(IPMT(Input!$E$74/12,B18,$C$6,Input!$E$73)," ")</f>
        <v>-166.66666666666666</v>
      </c>
      <c r="F18" s="6">
        <f>D18</f>
        <v>-759.67839230413358</v>
      </c>
      <c r="G18" s="6">
        <f>E18</f>
        <v>-166.66666666666666</v>
      </c>
      <c r="H18" s="6">
        <f>D18+E18</f>
        <v>-926.34505897080021</v>
      </c>
      <c r="I18" s="6">
        <f>C8+D18</f>
        <v>9240.321607695867</v>
      </c>
      <c r="J18" s="6" t="str">
        <f>IF(B18&lt;&gt;"",IF(AND(Input!$H$73="Annual",MOD(B18,12)=0),Input!$J$73,IF(AND(Input!$H$73="1st Installment",B18=1),Input!$J$73,IF(Input!$H$73="Monthly",Input!$J$73,""))),"")</f>
        <v/>
      </c>
      <c r="K18" s="6" t="str">
        <f>IF(B18&lt;&gt;"",IF(AND(Input!$H$74="Annual",MOD(B18,12)=0),Input!$J$74,IF(AND(Input!$H$74="1st Installment",B18=1),Input!$J$74,IF(Input!$H$74="Monthly",Input!$J$74,""))),"")</f>
        <v/>
      </c>
      <c r="L18" s="6" t="str">
        <f>IF(B18&lt;&gt;"",IF(AND(Input!$H$75="Annual",MOD(B18,12)=0),Input!$J$75,IF(AND(Input!$H$75="1st Installment",B18=1),Input!$J$75,IF(Input!$H$75="Monthly",Input!$J$75,IF(AND(Input!$H$75="End of the loan",B18=12),Input!$J$75,"")))),"")</f>
        <v/>
      </c>
      <c r="M18" s="6">
        <f t="shared" si="0"/>
        <v>0</v>
      </c>
      <c r="N18" s="4">
        <f t="shared" si="1"/>
        <v>926.34505897080021</v>
      </c>
      <c r="R18" s="9">
        <f t="shared" ref="R18:R29" si="2">+C18</f>
        <v>45321</v>
      </c>
      <c r="S18" s="5">
        <f>IFERROR(ROUND((_xlfn.IFNA(VLOOKUP(R18,$C$18:$N$29,12,0),0)),2)," ")</f>
        <v>926.35</v>
      </c>
      <c r="T18" s="140"/>
      <c r="U18" s="68"/>
    </row>
    <row r="19" spans="2:21" x14ac:dyDescent="0.2">
      <c r="B19" s="16">
        <f>IF(B18="","",IF((B18+1)&lt;=$C$6,B18+1,""))</f>
        <v>2</v>
      </c>
      <c r="C19" s="162">
        <f t="shared" ref="C19:C29" si="3">IF(B19="","",EDATE($C$18,(B19-1)))</f>
        <v>45351</v>
      </c>
      <c r="D19" s="6">
        <f>IFERROR(IF(B19&lt;&gt;"",PPMT(Input!$E$74/12,B19,$C$6,Input!$E$73),"")," ")</f>
        <v>-772.33969884253588</v>
      </c>
      <c r="E19" s="6">
        <f>IFERROR(IPMT(Input!$E$74/12,B19,$C$6,Input!$E$73)," ")</f>
        <v>-154.00536012826444</v>
      </c>
      <c r="F19" s="6">
        <f t="shared" ref="F19:F29" si="4">IF(B19&lt;&gt;"",F18+D19,"")</f>
        <v>-1532.0180911466696</v>
      </c>
      <c r="G19" s="6">
        <f t="shared" ref="G19:G29" si="5">IF(B19&lt;&gt;"",G18+E19,"")</f>
        <v>-320.67202679493107</v>
      </c>
      <c r="H19" s="6">
        <f t="shared" ref="H19:H29" si="6">IF(B19&lt;&gt;"",D19+E19,"")</f>
        <v>-926.34505897080032</v>
      </c>
      <c r="I19" s="6">
        <f t="shared" ref="I19:I29" si="7">IF(B19&lt;&gt;"",I18+D19,"")</f>
        <v>8467.9819088533313</v>
      </c>
      <c r="J19" s="6" t="str">
        <f>IF(B19&lt;&gt;"",IF(AND(Input!$H$73="Annual",MOD(B19,12)=0),Input!$J$73,IF(AND(Input!$H$73="1st Installment",B19=1),Input!$J$73,IF(Input!$H$73="Monthly",Input!$J$73,""))),"")</f>
        <v/>
      </c>
      <c r="K19" s="6" t="str">
        <f>IF(B19&lt;&gt;"",IF(AND(Input!$H$74="Annual",MOD(B19,12)=0),Input!$J$74,IF(AND(Input!$H$74="1st Installment",B19=1),Input!$J$74,IF(Input!$H$74="Monthly",Input!$J$74,""))),"")</f>
        <v/>
      </c>
      <c r="L19" s="6" t="str">
        <f>IF(B19&lt;&gt;"",IF(AND(Input!$H$75="Annual",MOD(B19,12)=0),Input!$J$75,IF(AND(Input!$H$75="1st Installment",B19=1),Input!$J$75,IF(Input!$H$75="Monthly",Input!$J$75,IF(AND(Input!$H$75="End of the loan",B19=12),Input!$J$75,"")))),"")</f>
        <v/>
      </c>
      <c r="M19" s="6">
        <f t="shared" si="0"/>
        <v>0</v>
      </c>
      <c r="N19" s="4">
        <f t="shared" si="1"/>
        <v>926.34505897080032</v>
      </c>
      <c r="R19" s="9">
        <f t="shared" si="2"/>
        <v>45351</v>
      </c>
      <c r="S19" s="5">
        <f t="shared" ref="S19:S29" si="8">IFERROR(ROUND((_xlfn.IFNA(VLOOKUP(R19,$C$18:$N$29,12,0),0)),2)," ")</f>
        <v>926.35</v>
      </c>
      <c r="T19" s="140"/>
      <c r="U19" s="68"/>
    </row>
    <row r="20" spans="2:21" x14ac:dyDescent="0.2">
      <c r="B20" s="16">
        <f t="shared" ref="B20:B29" si="9">IF(B19="","",IF((B19+1)&lt;=$C$6,B19+1,""))</f>
        <v>3</v>
      </c>
      <c r="C20" s="162">
        <f t="shared" si="3"/>
        <v>45381</v>
      </c>
      <c r="D20" s="6">
        <f>IFERROR(IF(B20&lt;&gt;"",PPMT(Input!$E$74/12,B20,$C$6,Input!$E$73),"")," ")</f>
        <v>-785.21202715657819</v>
      </c>
      <c r="E20" s="6">
        <f>IFERROR(IPMT(Input!$E$74/12,B20,$C$6,Input!$E$73)," ")</f>
        <v>-141.13303181422216</v>
      </c>
      <c r="F20" s="6">
        <f t="shared" si="4"/>
        <v>-2317.2301183032478</v>
      </c>
      <c r="G20" s="6">
        <f t="shared" si="5"/>
        <v>-461.80505860915321</v>
      </c>
      <c r="H20" s="6">
        <f t="shared" si="6"/>
        <v>-926.34505897080032</v>
      </c>
      <c r="I20" s="6">
        <f t="shared" si="7"/>
        <v>7682.7698816967531</v>
      </c>
      <c r="J20" s="6" t="str">
        <f>IF(B20&lt;&gt;"",IF(AND(Input!$H$73="Annual",MOD(B20,12)=0),Input!$J$73,IF(AND(Input!$H$73="1st Installment",B20=1),Input!$J$73,IF(Input!$H$73="Monthly",Input!$J$73,""))),"")</f>
        <v/>
      </c>
      <c r="K20" s="6" t="str">
        <f>IF(B20&lt;&gt;"",IF(AND(Input!$H$74="Annual",MOD(B20,12)=0),Input!$J$74,IF(AND(Input!$H$74="1st Installment",B20=1),Input!$J$74,IF(Input!$H$74="Monthly",Input!$J$74,""))),"")</f>
        <v/>
      </c>
      <c r="L20" s="6" t="str">
        <f>IF(B20&lt;&gt;"",IF(AND(Input!$H$75="Annual",MOD(B20,12)=0),Input!$J$75,IF(AND(Input!$H$75="1st Installment",B20=1),Input!$J$75,IF(Input!$H$75="Monthly",Input!$J$75,IF(AND(Input!$H$75="End of the loan",B20=12),Input!$J$75,"")))),"")</f>
        <v/>
      </c>
      <c r="M20" s="6">
        <f t="shared" si="0"/>
        <v>0</v>
      </c>
      <c r="N20" s="4">
        <f t="shared" si="1"/>
        <v>926.34505897080032</v>
      </c>
      <c r="R20" s="9">
        <f t="shared" si="2"/>
        <v>45381</v>
      </c>
      <c r="S20" s="5">
        <f t="shared" si="8"/>
        <v>926.35</v>
      </c>
      <c r="T20" s="140"/>
      <c r="U20" s="68"/>
    </row>
    <row r="21" spans="2:21" x14ac:dyDescent="0.2">
      <c r="B21" s="16">
        <f t="shared" si="9"/>
        <v>4</v>
      </c>
      <c r="C21" s="162">
        <f t="shared" si="3"/>
        <v>45412</v>
      </c>
      <c r="D21" s="6">
        <f>IFERROR(IF(B21&lt;&gt;"",PPMT(Input!$E$74/12,B21,$C$6,Input!$E$73),"")," ")</f>
        <v>-798.29889427585454</v>
      </c>
      <c r="E21" s="6">
        <f>IFERROR(IPMT(Input!$E$74/12,B21,$C$6,Input!$E$73)," ")</f>
        <v>-128.04616469494584</v>
      </c>
      <c r="F21" s="6">
        <f t="shared" si="4"/>
        <v>-3115.5290125791025</v>
      </c>
      <c r="G21" s="6">
        <f t="shared" si="5"/>
        <v>-589.85122330409899</v>
      </c>
      <c r="H21" s="6">
        <f t="shared" si="6"/>
        <v>-926.34505897080044</v>
      </c>
      <c r="I21" s="6">
        <f t="shared" si="7"/>
        <v>6884.4709874208984</v>
      </c>
      <c r="J21" s="6" t="str">
        <f>IF(B21&lt;&gt;"",IF(AND(Input!$H$73="Annual",MOD(B21,12)=0),Input!$J$73,IF(AND(Input!$H$73="1st Installment",B21=1),Input!$J$73,IF(Input!$H$73="Monthly",Input!$J$73,""))),"")</f>
        <v/>
      </c>
      <c r="K21" s="6" t="str">
        <f>IF(B21&lt;&gt;"",IF(AND(Input!$H$74="Annual",MOD(B21,12)=0),Input!$J$74,IF(AND(Input!$H$74="1st Installment",B21=1),Input!$J$74,IF(Input!$H$74="Monthly",Input!$J$74,""))),"")</f>
        <v/>
      </c>
      <c r="L21" s="6" t="str">
        <f>IF(B21&lt;&gt;"",IF(AND(Input!$H$75="Annual",MOD(B21,12)=0),Input!$J$75,IF(AND(Input!$H$75="1st Installment",B21=1),Input!$J$75,IF(Input!$H$75="Monthly",Input!$J$75,IF(AND(Input!$H$75="End of the loan",B21=12),Input!$J$75,"")))),"")</f>
        <v/>
      </c>
      <c r="M21" s="6">
        <f t="shared" si="0"/>
        <v>0</v>
      </c>
      <c r="N21" s="4">
        <f t="shared" si="1"/>
        <v>926.34505897080044</v>
      </c>
      <c r="R21" s="9">
        <f t="shared" si="2"/>
        <v>45412</v>
      </c>
      <c r="S21" s="5">
        <f t="shared" si="8"/>
        <v>926.35</v>
      </c>
      <c r="T21" s="140"/>
      <c r="U21" s="68"/>
    </row>
    <row r="22" spans="2:21" x14ac:dyDescent="0.2">
      <c r="B22" s="16">
        <f t="shared" si="9"/>
        <v>5</v>
      </c>
      <c r="C22" s="162">
        <f t="shared" si="3"/>
        <v>45442</v>
      </c>
      <c r="D22" s="6">
        <f>IFERROR(IF(B22&lt;&gt;"",PPMT(Input!$E$74/12,B22,$C$6,Input!$E$73),"")," ")</f>
        <v>-811.60387584711862</v>
      </c>
      <c r="E22" s="6">
        <f>IFERROR(IPMT(Input!$E$74/12,B22,$C$6,Input!$E$73)," ")</f>
        <v>-114.74118312368162</v>
      </c>
      <c r="F22" s="6">
        <f t="shared" si="4"/>
        <v>-3927.1328884262211</v>
      </c>
      <c r="G22" s="6">
        <f t="shared" si="5"/>
        <v>-704.59240642778059</v>
      </c>
      <c r="H22" s="6">
        <f t="shared" si="6"/>
        <v>-926.34505897080021</v>
      </c>
      <c r="I22" s="6">
        <f t="shared" si="7"/>
        <v>6072.8671115737798</v>
      </c>
      <c r="J22" s="6" t="str">
        <f>IF(B22&lt;&gt;"",IF(AND(Input!$H$73="Annual",MOD(B22,12)=0),Input!$J$73,IF(AND(Input!$H$73="1st Installment",B22=1),Input!$J$73,IF(Input!$H$73="Monthly",Input!$J$73,""))),"")</f>
        <v/>
      </c>
      <c r="K22" s="6" t="str">
        <f>IF(B22&lt;&gt;"",IF(AND(Input!$H$74="Annual",MOD(B22,12)=0),Input!$J$74,IF(AND(Input!$H$74="1st Installment",B22=1),Input!$J$74,IF(Input!$H$74="Monthly",Input!$J$74,""))),"")</f>
        <v/>
      </c>
      <c r="L22" s="6" t="str">
        <f>IF(B22&lt;&gt;"",IF(AND(Input!$H$75="Annual",MOD(B22,12)=0),Input!$J$75,IF(AND(Input!$H$75="1st Installment",B22=1),Input!$J$75,IF(Input!$H$75="Monthly",Input!$J$75,IF(AND(Input!$H$75="End of the loan",B22=12),Input!$J$75,"")))),"")</f>
        <v/>
      </c>
      <c r="M22" s="6">
        <f t="shared" si="0"/>
        <v>0</v>
      </c>
      <c r="N22" s="4">
        <f t="shared" si="1"/>
        <v>926.34505897080021</v>
      </c>
      <c r="R22" s="9">
        <f t="shared" si="2"/>
        <v>45442</v>
      </c>
      <c r="S22" s="5">
        <f t="shared" si="8"/>
        <v>926.35</v>
      </c>
      <c r="T22" s="140"/>
      <c r="U22" s="68"/>
    </row>
    <row r="23" spans="2:21" x14ac:dyDescent="0.2">
      <c r="B23" s="16">
        <f t="shared" si="9"/>
        <v>6</v>
      </c>
      <c r="C23" s="162">
        <f t="shared" si="3"/>
        <v>45473</v>
      </c>
      <c r="D23" s="6">
        <f>IFERROR(IF(B23&lt;&gt;"",PPMT(Input!$E$74/12,B23,$C$6,Input!$E$73),"")," ")</f>
        <v>-825.1306071112374</v>
      </c>
      <c r="E23" s="6">
        <f>IFERROR(IPMT(Input!$E$74/12,B23,$C$6,Input!$E$73)," ")</f>
        <v>-101.21445185956297</v>
      </c>
      <c r="F23" s="6">
        <f t="shared" si="4"/>
        <v>-4752.2634955374588</v>
      </c>
      <c r="G23" s="6">
        <f t="shared" si="5"/>
        <v>-805.80685828734352</v>
      </c>
      <c r="H23" s="6">
        <f t="shared" si="6"/>
        <v>-926.34505897080032</v>
      </c>
      <c r="I23" s="6">
        <f t="shared" si="7"/>
        <v>5247.7365044625421</v>
      </c>
      <c r="J23" s="6" t="str">
        <f>IF(B23&lt;&gt;"",IF(AND(Input!$H$73="Annual",MOD(B23,12)=0),Input!$J$73,IF(AND(Input!$H$73="1st Installment",B23=1),Input!$J$73,IF(Input!$H$73="Monthly",Input!$J$73,""))),"")</f>
        <v/>
      </c>
      <c r="K23" s="6" t="str">
        <f>IF(B23&lt;&gt;"",IF(AND(Input!$H$74="Annual",MOD(B23,12)=0),Input!$J$74,IF(AND(Input!$H$74="1st Installment",B23=1),Input!$J$74,IF(Input!$H$74="Monthly",Input!$J$74,""))),"")</f>
        <v/>
      </c>
      <c r="L23" s="6" t="str">
        <f>IF(B23&lt;&gt;"",IF(AND(Input!$H$75="Annual",MOD(B23,12)=0),Input!$J$75,IF(AND(Input!$H$75="1st Installment",B23=1),Input!$J$75,IF(Input!$H$75="Monthly",Input!$J$75,IF(AND(Input!$H$75="End of the loan",B23=12),Input!$J$75,"")))),"")</f>
        <v/>
      </c>
      <c r="M23" s="6">
        <f t="shared" si="0"/>
        <v>0</v>
      </c>
      <c r="N23" s="4">
        <f t="shared" si="1"/>
        <v>926.34505897080032</v>
      </c>
      <c r="R23" s="9">
        <f t="shared" si="2"/>
        <v>45473</v>
      </c>
      <c r="S23" s="5">
        <f t="shared" si="8"/>
        <v>926.35</v>
      </c>
      <c r="T23" s="140"/>
      <c r="U23" s="68"/>
    </row>
    <row r="24" spans="2:21" x14ac:dyDescent="0.2">
      <c r="B24" s="16">
        <f t="shared" si="9"/>
        <v>7</v>
      </c>
      <c r="C24" s="162">
        <f t="shared" si="3"/>
        <v>45503</v>
      </c>
      <c r="D24" s="6">
        <f>IFERROR(IF(B24&lt;&gt;"",PPMT(Input!$E$74/12,B24,$C$6,Input!$E$73),"")," ")</f>
        <v>-838.8827838964246</v>
      </c>
      <c r="E24" s="6">
        <f>IFERROR(IPMT(Input!$E$74/12,B24,$C$6,Input!$E$73)," ")</f>
        <v>-87.462275074375682</v>
      </c>
      <c r="F24" s="6">
        <f t="shared" si="4"/>
        <v>-5591.1462794338831</v>
      </c>
      <c r="G24" s="6">
        <f t="shared" si="5"/>
        <v>-893.26913336171924</v>
      </c>
      <c r="H24" s="6">
        <f t="shared" si="6"/>
        <v>-926.34505897080032</v>
      </c>
      <c r="I24" s="6">
        <f t="shared" si="7"/>
        <v>4408.8537205661178</v>
      </c>
      <c r="J24" s="6" t="str">
        <f>IF(B24&lt;&gt;"",IF(AND(Input!$H$73="Annual",MOD(B24,12)=0),Input!$J$73,IF(AND(Input!$H$73="1st Installment",B24=1),Input!$J$73,IF(Input!$H$73="Monthly",Input!$J$73,""))),"")</f>
        <v/>
      </c>
      <c r="K24" s="6" t="str">
        <f>IF(B24&lt;&gt;"",IF(AND(Input!$H$74="Annual",MOD(B24,12)=0),Input!$J$74,IF(AND(Input!$H$74="1st Installment",B24=1),Input!$J$74,IF(Input!$H$74="Monthly",Input!$J$74,""))),"")</f>
        <v/>
      </c>
      <c r="L24" s="6" t="str">
        <f>IF(B24&lt;&gt;"",IF(AND(Input!$H$75="Annual",MOD(B24,12)=0),Input!$J$75,IF(AND(Input!$H$75="1st Installment",B24=1),Input!$J$75,IF(Input!$H$75="Monthly",Input!$J$75,IF(AND(Input!$H$75="End of the loan",B24=12),Input!$J$75,"")))),"")</f>
        <v/>
      </c>
      <c r="M24" s="6">
        <f t="shared" si="0"/>
        <v>0</v>
      </c>
      <c r="N24" s="4">
        <f t="shared" si="1"/>
        <v>926.34505897080032</v>
      </c>
      <c r="R24" s="9">
        <f t="shared" si="2"/>
        <v>45503</v>
      </c>
      <c r="S24" s="5">
        <f t="shared" si="8"/>
        <v>926.35</v>
      </c>
      <c r="T24" s="140"/>
      <c r="U24" s="68"/>
    </row>
    <row r="25" spans="2:21" x14ac:dyDescent="0.2">
      <c r="B25" s="16">
        <f t="shared" si="9"/>
        <v>8</v>
      </c>
      <c r="C25" s="162">
        <f t="shared" si="3"/>
        <v>45534</v>
      </c>
      <c r="D25" s="6">
        <f>IFERROR(IF(B25&lt;&gt;"",PPMT(Input!$E$74/12,B25,$C$6,Input!$E$73),"")," ")</f>
        <v>-852.86416362803175</v>
      </c>
      <c r="E25" s="6">
        <f>IFERROR(IPMT(Input!$E$74/12,B25,$C$6,Input!$E$73)," ")</f>
        <v>-73.480895342768619</v>
      </c>
      <c r="F25" s="6">
        <f t="shared" si="4"/>
        <v>-6444.0104430619149</v>
      </c>
      <c r="G25" s="6">
        <f t="shared" si="5"/>
        <v>-966.75002870448782</v>
      </c>
      <c r="H25" s="6">
        <f t="shared" si="6"/>
        <v>-926.34505897080032</v>
      </c>
      <c r="I25" s="6">
        <f t="shared" si="7"/>
        <v>3555.989556938086</v>
      </c>
      <c r="J25" s="6" t="str">
        <f>IF(B25&lt;&gt;"",IF(AND(Input!$H$73="Annual",MOD(B25,12)=0),Input!$J$73,IF(AND(Input!$H$73="1st Installment",B25=1),Input!$J$73,IF(Input!$H$73="Monthly",Input!$J$73,""))),"")</f>
        <v/>
      </c>
      <c r="K25" s="6" t="str">
        <f>IF(B25&lt;&gt;"",IF(AND(Input!$H$74="Annual",MOD(B25,12)=0),Input!$J$74,IF(AND(Input!$H$74="1st Installment",B25=1),Input!$J$74,IF(Input!$H$74="Monthly",Input!$J$74,""))),"")</f>
        <v/>
      </c>
      <c r="L25" s="6" t="str">
        <f>IF(B25&lt;&gt;"",IF(AND(Input!$H$75="Annual",MOD(B25,12)=0),Input!$J$75,IF(AND(Input!$H$75="1st Installment",B25=1),Input!$J$75,IF(Input!$H$75="Monthly",Input!$J$75,IF(AND(Input!$H$75="End of the loan",B25=12),Input!$J$75,"")))),"")</f>
        <v/>
      </c>
      <c r="M25" s="6">
        <f t="shared" si="0"/>
        <v>0</v>
      </c>
      <c r="N25" s="4">
        <f t="shared" si="1"/>
        <v>926.34505897080032</v>
      </c>
      <c r="R25" s="9">
        <f t="shared" si="2"/>
        <v>45534</v>
      </c>
      <c r="S25" s="5">
        <f t="shared" si="8"/>
        <v>926.35</v>
      </c>
      <c r="T25" s="140"/>
      <c r="U25" s="68"/>
    </row>
    <row r="26" spans="2:21" x14ac:dyDescent="0.2">
      <c r="B26" s="16">
        <f t="shared" si="9"/>
        <v>9</v>
      </c>
      <c r="C26" s="162">
        <f t="shared" si="3"/>
        <v>45565</v>
      </c>
      <c r="D26" s="6">
        <f>IFERROR(IF(B26&lt;&gt;"",PPMT(Input!$E$74/12,B26,$C$6,Input!$E$73),"")," ")</f>
        <v>-867.07856635516555</v>
      </c>
      <c r="E26" s="6">
        <f>IFERROR(IPMT(Input!$E$74/12,B26,$C$6,Input!$E$73)," ")</f>
        <v>-59.266492615634746</v>
      </c>
      <c r="F26" s="6">
        <f t="shared" si="4"/>
        <v>-7311.0890094170809</v>
      </c>
      <c r="G26" s="6">
        <f t="shared" si="5"/>
        <v>-1026.0165213201226</v>
      </c>
      <c r="H26" s="6">
        <f t="shared" si="6"/>
        <v>-926.34505897080032</v>
      </c>
      <c r="I26" s="6">
        <f t="shared" si="7"/>
        <v>2688.9109905829205</v>
      </c>
      <c r="J26" s="6" t="str">
        <f>IF(B26&lt;&gt;"",IF(AND(Input!$H$73="Annual",MOD(B26,12)=0),Input!$J$73,IF(AND(Input!$H$73="1st Installment",B26=1),Input!$J$73,IF(Input!$H$73="Monthly",Input!$J$73,""))),"")</f>
        <v/>
      </c>
      <c r="K26" s="6" t="str">
        <f>IF(B26&lt;&gt;"",IF(AND(Input!$H$74="Annual",MOD(B26,12)=0),Input!$J$74,IF(AND(Input!$H$74="1st Installment",B26=1),Input!$J$74,IF(Input!$H$74="Monthly",Input!$J$74,""))),"")</f>
        <v/>
      </c>
      <c r="L26" s="6" t="str">
        <f>IF(B26&lt;&gt;"",IF(AND(Input!$H$75="Annual",MOD(B26,12)=0),Input!$J$75,IF(AND(Input!$H$75="1st Installment",B26=1),Input!$J$75,IF(Input!$H$75="Monthly",Input!$J$75,IF(AND(Input!$H$75="End of the loan",B26=12),Input!$J$75,"")))),"")</f>
        <v/>
      </c>
      <c r="M26" s="6">
        <f t="shared" si="0"/>
        <v>0</v>
      </c>
      <c r="N26" s="4">
        <f t="shared" si="1"/>
        <v>926.34505897080032</v>
      </c>
      <c r="R26" s="9">
        <f t="shared" si="2"/>
        <v>45565</v>
      </c>
      <c r="S26" s="5">
        <f t="shared" si="8"/>
        <v>926.35</v>
      </c>
      <c r="T26" s="140"/>
      <c r="U26" s="68"/>
    </row>
    <row r="27" spans="2:21" x14ac:dyDescent="0.2">
      <c r="B27" s="16">
        <f t="shared" si="9"/>
        <v>10</v>
      </c>
      <c r="C27" s="162">
        <f t="shared" si="3"/>
        <v>45595</v>
      </c>
      <c r="D27" s="6">
        <f>IFERROR(IF(B27&lt;&gt;"",PPMT(Input!$E$74/12,B27,$C$6,Input!$E$73),"")," ")</f>
        <v>-881.52987579441833</v>
      </c>
      <c r="E27" s="6">
        <f>IFERROR(IPMT(Input!$E$74/12,B27,$C$6,Input!$E$73)," ")</f>
        <v>-44.815183176381979</v>
      </c>
      <c r="F27" s="6">
        <f t="shared" si="4"/>
        <v>-8192.6188852114992</v>
      </c>
      <c r="G27" s="6">
        <f t="shared" si="5"/>
        <v>-1070.8317044965045</v>
      </c>
      <c r="H27" s="6">
        <f t="shared" si="6"/>
        <v>-926.34505897080032</v>
      </c>
      <c r="I27" s="6">
        <f t="shared" si="7"/>
        <v>1807.3811147885021</v>
      </c>
      <c r="J27" s="6" t="str">
        <f>IF(B27&lt;&gt;"",IF(AND(Input!$H$73="Annual",MOD(B27,12)=0),Input!$J$73,IF(AND(Input!$H$73="1st Installment",B27=1),Input!$J$73,IF(Input!$H$73="Monthly",Input!$J$73,""))),"")</f>
        <v/>
      </c>
      <c r="K27" s="6" t="str">
        <f>IF(B27&lt;&gt;"",IF(AND(Input!$H$74="Annual",MOD(B27,12)=0),Input!$J$74,IF(AND(Input!$H$74="1st Installment",B27=1),Input!$J$74,IF(Input!$H$74="Monthly",Input!$J$74,""))),"")</f>
        <v/>
      </c>
      <c r="L27" s="6" t="str">
        <f>IF(B27&lt;&gt;"",IF(AND(Input!$H$75="Annual",MOD(B27,12)=0),Input!$J$75,IF(AND(Input!$H$75="1st Installment",B27=1),Input!$J$75,IF(Input!$H$75="Monthly",Input!$J$75,IF(AND(Input!$H$75="End of the loan",B27=12),Input!$J$75,"")))),"")</f>
        <v/>
      </c>
      <c r="M27" s="6">
        <f t="shared" si="0"/>
        <v>0</v>
      </c>
      <c r="N27" s="4">
        <f t="shared" si="1"/>
        <v>926.34505897080032</v>
      </c>
      <c r="R27" s="9">
        <f t="shared" si="2"/>
        <v>45595</v>
      </c>
      <c r="S27" s="5">
        <f t="shared" si="8"/>
        <v>926.35</v>
      </c>
      <c r="T27" s="140"/>
      <c r="U27" s="68"/>
    </row>
    <row r="28" spans="2:21" x14ac:dyDescent="0.2">
      <c r="B28" s="16">
        <f t="shared" si="9"/>
        <v>11</v>
      </c>
      <c r="C28" s="162">
        <f t="shared" si="3"/>
        <v>45626</v>
      </c>
      <c r="D28" s="6">
        <f>IFERROR(IF(B28&lt;&gt;"",PPMT(Input!$E$74/12,B28,$C$6,Input!$E$73),"")," ")</f>
        <v>-896.22204039099199</v>
      </c>
      <c r="E28" s="6">
        <f>IFERROR(IPMT(Input!$E$74/12,B28,$C$6,Input!$E$73)," ")</f>
        <v>-30.123018579808345</v>
      </c>
      <c r="F28" s="6">
        <f t="shared" si="4"/>
        <v>-9088.8409256024916</v>
      </c>
      <c r="G28" s="6">
        <f t="shared" si="5"/>
        <v>-1100.9547230763128</v>
      </c>
      <c r="H28" s="6">
        <f t="shared" si="6"/>
        <v>-926.34505897080032</v>
      </c>
      <c r="I28" s="6">
        <f t="shared" si="7"/>
        <v>911.15907439751015</v>
      </c>
      <c r="J28" s="6" t="str">
        <f>IF(B28&lt;&gt;"",IF(AND(Input!$H$73="Annual",MOD(B28,12)=0),Input!$J$73,IF(AND(Input!$H$73="1st Installment",B28=1),Input!$J$73,IF(Input!$H$73="Monthly",Input!$J$73,""))),"")</f>
        <v/>
      </c>
      <c r="K28" s="6" t="str">
        <f>IF(B28&lt;&gt;"",IF(AND(Input!$H$74="Annual",MOD(B28,12)=0),Input!$J$74,IF(AND(Input!$H$74="1st Installment",B28=1),Input!$J$74,IF(Input!$H$74="Monthly",Input!$J$74,""))),"")</f>
        <v/>
      </c>
      <c r="L28" s="6" t="str">
        <f>IF(B28&lt;&gt;"",IF(AND(Input!$H$75="Annual",MOD(B28,12)=0),Input!$J$75,IF(AND(Input!$H$75="1st Installment",B28=1),Input!$J$75,IF(Input!$H$75="Monthly",Input!$J$75,IF(AND(Input!$H$75="End of the loan",B28=12),Input!$J$75,"")))),"")</f>
        <v/>
      </c>
      <c r="M28" s="6">
        <f t="shared" si="0"/>
        <v>0</v>
      </c>
      <c r="N28" s="4">
        <f t="shared" si="1"/>
        <v>926.34505897080032</v>
      </c>
      <c r="R28" s="9">
        <f t="shared" si="2"/>
        <v>45626</v>
      </c>
      <c r="S28" s="5">
        <f t="shared" si="8"/>
        <v>926.35</v>
      </c>
      <c r="T28" s="140"/>
      <c r="U28" s="68"/>
    </row>
    <row r="29" spans="2:21" x14ac:dyDescent="0.2">
      <c r="B29" s="16">
        <f t="shared" si="9"/>
        <v>12</v>
      </c>
      <c r="C29" s="162">
        <f t="shared" si="3"/>
        <v>45656</v>
      </c>
      <c r="D29" s="6">
        <f>IFERROR(IF(B29&lt;&gt;"",PPMT(Input!$E$74/12,B29,$C$6,Input!$E$73),"")," ")</f>
        <v>-911.15907439750845</v>
      </c>
      <c r="E29" s="6">
        <f>IFERROR(IPMT(Input!$E$74/12,B29,$C$6,Input!$E$73)," ")</f>
        <v>-15.18598457329181</v>
      </c>
      <c r="F29" s="6">
        <f t="shared" si="4"/>
        <v>-10000</v>
      </c>
      <c r="G29" s="6">
        <f t="shared" si="5"/>
        <v>-1116.1407076496046</v>
      </c>
      <c r="H29" s="6">
        <f t="shared" si="6"/>
        <v>-926.34505897080021</v>
      </c>
      <c r="I29" s="6">
        <f t="shared" si="7"/>
        <v>1.7053025658242404E-12</v>
      </c>
      <c r="J29" s="6">
        <f>IF(B29&lt;&gt;"",IF(AND(Input!$H$73="Annual",MOD(B29,12)=0),Input!$J$73,IF(AND(Input!$H$73="1st Installment",B29=1),Input!$J$73,IF(Input!$H$73="Monthly",Input!$J$73,""))),"")</f>
        <v>200</v>
      </c>
      <c r="K29" s="6">
        <f>IF(B29&lt;&gt;"",IF(AND(Input!$H$74="Annual",MOD(B29,12)=0),Input!$J$74,IF(AND(Input!$H$74="1st Installment",B29=1),Input!$J$74,IF(Input!$H$74="Monthly",Input!$J$74,""))),"")</f>
        <v>100</v>
      </c>
      <c r="L29" s="6" t="str">
        <f>IF(B29&lt;&gt;"",IF(AND(Input!$H$75="Annual",MOD(B29,12)=0),Input!$J$75,IF(AND(Input!$H$75="1st Installment",B29=1),Input!$J$75,IF(Input!$H$75="Monthly",Input!$J$75,IF(AND(Input!$H$75="End of the loan",B29=12),Input!$J$75,"")))),"")</f>
        <v/>
      </c>
      <c r="M29" s="6">
        <f t="shared" si="0"/>
        <v>300</v>
      </c>
      <c r="N29" s="4">
        <f t="shared" si="1"/>
        <v>1226.3450589708002</v>
      </c>
      <c r="R29" s="9">
        <f t="shared" si="2"/>
        <v>45656</v>
      </c>
      <c r="S29" s="5">
        <f t="shared" si="8"/>
        <v>1226.3499999999999</v>
      </c>
      <c r="T29" s="140"/>
      <c r="U29" s="68"/>
    </row>
  </sheetData>
  <mergeCells count="3">
    <mergeCell ref="B4:F4"/>
    <mergeCell ref="R15:S15"/>
    <mergeCell ref="B2:N2"/>
  </mergeCells>
  <pageMargins left="0.7" right="0.7" top="0.75" bottom="0.75" header="0.3" footer="0.3"/>
  <pageSetup orientation="portrait" r:id="rId1"/>
  <headerFooter>
    <oddHeader>&amp;C
&amp;G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24571D"/>
  </sheetPr>
  <dimension ref="A1:O373"/>
  <sheetViews>
    <sheetView showGridLines="0" topLeftCell="B1" workbookViewId="0">
      <selection activeCell="N11" sqref="N11"/>
    </sheetView>
  </sheetViews>
  <sheetFormatPr defaultRowHeight="14.4" x14ac:dyDescent="0.3"/>
  <cols>
    <col min="1" max="1" width="8.88671875" customWidth="1"/>
    <col min="2" max="2" width="33.88671875" style="149" customWidth="1"/>
    <col min="3" max="3" width="15.21875" customWidth="1"/>
    <col min="4" max="4" width="11.5546875" customWidth="1"/>
    <col min="5" max="5" width="14.88671875" customWidth="1"/>
    <col min="6" max="6" width="11.109375" customWidth="1"/>
    <col min="7" max="7" width="11.5546875" style="151" customWidth="1"/>
    <col min="8" max="8" width="12.33203125" customWidth="1"/>
    <col min="9" max="9" width="14.44140625" customWidth="1"/>
    <col min="10" max="10" width="10.5546875" bestFit="1" customWidth="1"/>
    <col min="11" max="11" width="4.44140625" customWidth="1"/>
    <col min="12" max="12" width="19.6640625" bestFit="1" customWidth="1"/>
    <col min="13" max="13" width="11.6640625" bestFit="1" customWidth="1"/>
    <col min="14" max="14" width="10" bestFit="1" customWidth="1"/>
  </cols>
  <sheetData>
    <row r="1" spans="1:15" ht="19.2" customHeight="1" x14ac:dyDescent="0.3">
      <c r="B1" s="210" t="s">
        <v>78</v>
      </c>
      <c r="C1" s="211"/>
      <c r="D1" s="211"/>
      <c r="E1" s="211"/>
      <c r="F1" s="211"/>
      <c r="G1" s="211"/>
      <c r="H1" s="211"/>
      <c r="I1" s="211"/>
      <c r="J1" s="211"/>
      <c r="M1" s="179">
        <f>ROW(B13)</f>
        <v>13</v>
      </c>
      <c r="N1" s="179">
        <f>M1</f>
        <v>13</v>
      </c>
    </row>
    <row r="2" spans="1:15" x14ac:dyDescent="0.3">
      <c r="B2" s="146" t="s">
        <v>43</v>
      </c>
      <c r="C2" s="1"/>
      <c r="D2" s="1"/>
      <c r="E2" s="30"/>
      <c r="F2" s="1"/>
      <c r="M2" s="179">
        <f>COLUMN(B13)</f>
        <v>2</v>
      </c>
      <c r="N2" s="179">
        <f>COLUMN(J13)</f>
        <v>10</v>
      </c>
    </row>
    <row r="3" spans="1:15" x14ac:dyDescent="0.3">
      <c r="B3" s="147"/>
      <c r="C3" s="185" t="s">
        <v>44</v>
      </c>
      <c r="D3" s="185"/>
      <c r="E3" s="185"/>
      <c r="F3" s="185"/>
      <c r="M3" s="179"/>
      <c r="N3" s="180">
        <f>COUNTIF(B13:B373,"&gt;0")-1</f>
        <v>60</v>
      </c>
    </row>
    <row r="4" spans="1:15" x14ac:dyDescent="0.3">
      <c r="B4" s="148"/>
      <c r="C4" s="200" t="s">
        <v>135</v>
      </c>
      <c r="D4" s="200"/>
      <c r="E4" s="200"/>
      <c r="F4" s="200"/>
      <c r="J4" s="1"/>
      <c r="K4" s="1"/>
    </row>
    <row r="5" spans="1:15" x14ac:dyDescent="0.3">
      <c r="B5" s="88"/>
      <c r="C5" s="185" t="s">
        <v>48</v>
      </c>
      <c r="D5" s="185"/>
      <c r="E5" s="185"/>
      <c r="F5" s="185"/>
      <c r="J5" s="1"/>
      <c r="K5" s="1"/>
    </row>
    <row r="6" spans="1:15" x14ac:dyDescent="0.3">
      <c r="J6" s="1"/>
      <c r="K6" s="1"/>
    </row>
    <row r="8" spans="1:15" x14ac:dyDescent="0.3">
      <c r="B8" s="147" t="s">
        <v>127</v>
      </c>
      <c r="C8" s="85">
        <v>300000</v>
      </c>
      <c r="F8" s="53" t="s">
        <v>7</v>
      </c>
      <c r="G8" s="96">
        <f ca="1">IFERROR(XIRR(J13:INDIRECT(ADDRESS($N$1+$N$3,$N$2)),B13:INDIRECT(ADDRESS($M$1+$N$3,$M$2))),"-")</f>
        <v>9.7206085920333862E-2</v>
      </c>
    </row>
    <row r="9" spans="1:15" x14ac:dyDescent="0.3">
      <c r="B9" s="147" t="s">
        <v>65</v>
      </c>
      <c r="C9" s="86">
        <v>3000</v>
      </c>
    </row>
    <row r="10" spans="1:15" x14ac:dyDescent="0.3">
      <c r="B10" s="147" t="s">
        <v>129</v>
      </c>
      <c r="C10" s="87">
        <v>45292</v>
      </c>
    </row>
    <row r="12" spans="1:15" ht="45.6" x14ac:dyDescent="0.3">
      <c r="B12" s="153" t="s">
        <v>58</v>
      </c>
      <c r="C12" s="153" t="s">
        <v>132</v>
      </c>
      <c r="D12" s="153" t="s">
        <v>110</v>
      </c>
      <c r="E12" s="153" t="s">
        <v>32</v>
      </c>
      <c r="F12" s="153" t="s">
        <v>33</v>
      </c>
      <c r="G12" s="153" t="s">
        <v>34</v>
      </c>
      <c r="H12" s="153" t="s">
        <v>35</v>
      </c>
      <c r="I12" s="153" t="s">
        <v>130</v>
      </c>
      <c r="J12" s="153" t="s">
        <v>40</v>
      </c>
    </row>
    <row r="13" spans="1:15" ht="15" thickBot="1" x14ac:dyDescent="0.35">
      <c r="B13" s="89">
        <f>C10</f>
        <v>45292</v>
      </c>
      <c r="C13" s="88"/>
      <c r="D13" s="88"/>
      <c r="E13" s="88"/>
      <c r="F13" s="88" t="s">
        <v>131</v>
      </c>
      <c r="G13" s="88" t="s">
        <v>131</v>
      </c>
      <c r="H13" s="88"/>
      <c r="I13" s="88">
        <f>+C9</f>
        <v>3000</v>
      </c>
      <c r="J13" s="152">
        <f>-C8+IF(B13&lt;&gt;"",SUM(C13:I13),"")</f>
        <v>-297000</v>
      </c>
    </row>
    <row r="14" spans="1:15" x14ac:dyDescent="0.3">
      <c r="A14">
        <v>1</v>
      </c>
      <c r="B14" s="150">
        <v>45316</v>
      </c>
      <c r="C14" s="85">
        <v>3657.4165516832722</v>
      </c>
      <c r="D14" s="85">
        <v>1300</v>
      </c>
      <c r="E14" s="85" t="s">
        <v>131</v>
      </c>
      <c r="F14" s="85" t="s">
        <v>131</v>
      </c>
      <c r="G14" s="85">
        <v>920</v>
      </c>
      <c r="H14" s="85">
        <v>0</v>
      </c>
      <c r="I14" s="85"/>
      <c r="J14" s="152">
        <f>IF(B14&lt;&gt;"",SUM(C14:I14),"")</f>
        <v>5877.4165516832727</v>
      </c>
      <c r="L14" s="201" t="s">
        <v>75</v>
      </c>
      <c r="M14" s="202"/>
      <c r="N14" s="202"/>
      <c r="O14" s="203"/>
    </row>
    <row r="15" spans="1:15" x14ac:dyDescent="0.3">
      <c r="A15">
        <v>2</v>
      </c>
      <c r="B15" s="150">
        <v>45347</v>
      </c>
      <c r="C15" s="85">
        <v>3673.2653567405659</v>
      </c>
      <c r="D15" s="85">
        <v>1284.1511949427056</v>
      </c>
      <c r="E15" s="85" t="s">
        <v>131</v>
      </c>
      <c r="F15" s="85" t="s">
        <v>131</v>
      </c>
      <c r="G15" s="85">
        <v>920</v>
      </c>
      <c r="H15" s="85">
        <v>0</v>
      </c>
      <c r="I15" s="85"/>
      <c r="J15" s="152">
        <f t="shared" ref="J15:J78" si="0">IF(B15&lt;&gt;"",SUM(C15:I15),"")</f>
        <v>5877.4165516832718</v>
      </c>
      <c r="L15" s="204"/>
      <c r="M15" s="205"/>
      <c r="N15" s="205"/>
      <c r="O15" s="206"/>
    </row>
    <row r="16" spans="1:15" x14ac:dyDescent="0.3">
      <c r="A16">
        <v>3</v>
      </c>
      <c r="B16" s="150">
        <v>45376</v>
      </c>
      <c r="C16" s="85">
        <v>3689.1828399531087</v>
      </c>
      <c r="D16" s="85">
        <v>1268.2337117301633</v>
      </c>
      <c r="E16" s="85" t="s">
        <v>131</v>
      </c>
      <c r="F16" s="85" t="s">
        <v>131</v>
      </c>
      <c r="G16" s="85">
        <v>920</v>
      </c>
      <c r="H16" s="85">
        <v>0</v>
      </c>
      <c r="I16" s="85"/>
      <c r="J16" s="152">
        <f t="shared" si="0"/>
        <v>5877.4165516832718</v>
      </c>
      <c r="L16" s="204"/>
      <c r="M16" s="205"/>
      <c r="N16" s="205"/>
      <c r="O16" s="206"/>
    </row>
    <row r="17" spans="1:15" x14ac:dyDescent="0.3">
      <c r="A17">
        <v>4</v>
      </c>
      <c r="B17" s="150">
        <v>45407</v>
      </c>
      <c r="C17" s="85">
        <v>3705.1692989262383</v>
      </c>
      <c r="D17" s="85">
        <v>1252.247252757033</v>
      </c>
      <c r="E17" s="85" t="s">
        <v>131</v>
      </c>
      <c r="F17" s="85" t="s">
        <v>131</v>
      </c>
      <c r="G17" s="85">
        <v>920</v>
      </c>
      <c r="H17" s="85">
        <v>0</v>
      </c>
      <c r="I17" s="85"/>
      <c r="J17" s="152">
        <f t="shared" si="0"/>
        <v>5877.4165516832709</v>
      </c>
      <c r="L17" s="204"/>
      <c r="M17" s="205"/>
      <c r="N17" s="205"/>
      <c r="O17" s="206"/>
    </row>
    <row r="18" spans="1:15" ht="15" thickBot="1" x14ac:dyDescent="0.35">
      <c r="A18">
        <v>5</v>
      </c>
      <c r="B18" s="150">
        <v>45437</v>
      </c>
      <c r="C18" s="85">
        <v>3721.2250325549194</v>
      </c>
      <c r="D18" s="85">
        <v>1236.1915191283524</v>
      </c>
      <c r="E18" s="85" t="s">
        <v>131</v>
      </c>
      <c r="F18" s="85" t="s">
        <v>131</v>
      </c>
      <c r="G18" s="85">
        <v>920</v>
      </c>
      <c r="H18" s="85">
        <v>0</v>
      </c>
      <c r="I18" s="85"/>
      <c r="J18" s="152">
        <f t="shared" si="0"/>
        <v>5877.4165516832718</v>
      </c>
      <c r="L18" s="207"/>
      <c r="M18" s="208"/>
      <c r="N18" s="208"/>
      <c r="O18" s="209"/>
    </row>
    <row r="19" spans="1:15" x14ac:dyDescent="0.3">
      <c r="A19">
        <v>6</v>
      </c>
      <c r="B19" s="150">
        <v>45468</v>
      </c>
      <c r="C19" s="85">
        <v>3737.3503410293233</v>
      </c>
      <c r="D19" s="85">
        <v>1220.066210653948</v>
      </c>
      <c r="E19" s="85" t="s">
        <v>131</v>
      </c>
      <c r="F19" s="85" t="s">
        <v>131</v>
      </c>
      <c r="G19" s="85">
        <v>920</v>
      </c>
      <c r="H19" s="85">
        <v>0</v>
      </c>
      <c r="I19" s="85"/>
      <c r="J19" s="152">
        <f t="shared" si="0"/>
        <v>5877.4165516832709</v>
      </c>
    </row>
    <row r="20" spans="1:15" x14ac:dyDescent="0.3">
      <c r="A20">
        <v>7</v>
      </c>
      <c r="B20" s="150">
        <v>45498</v>
      </c>
      <c r="C20" s="85">
        <v>3753.5455258404513</v>
      </c>
      <c r="D20" s="85">
        <v>1203.8710258428212</v>
      </c>
      <c r="E20" s="85" t="s">
        <v>131</v>
      </c>
      <c r="F20" s="85" t="s">
        <v>131</v>
      </c>
      <c r="G20" s="85">
        <v>920</v>
      </c>
      <c r="H20" s="85">
        <v>0</v>
      </c>
      <c r="I20" s="85"/>
      <c r="J20" s="152">
        <f t="shared" si="0"/>
        <v>5877.4165516832727</v>
      </c>
    </row>
    <row r="21" spans="1:15" x14ac:dyDescent="0.3">
      <c r="A21">
        <v>8</v>
      </c>
      <c r="B21" s="150">
        <v>45529</v>
      </c>
      <c r="C21" s="85">
        <v>3769.8108897857596</v>
      </c>
      <c r="D21" s="85">
        <v>1187.6056618975124</v>
      </c>
      <c r="E21" s="85" t="s">
        <v>131</v>
      </c>
      <c r="F21" s="85" t="s">
        <v>131</v>
      </c>
      <c r="G21" s="85">
        <v>920</v>
      </c>
      <c r="H21" s="85">
        <v>0</v>
      </c>
      <c r="I21" s="85"/>
      <c r="J21" s="152">
        <f t="shared" si="0"/>
        <v>5877.4165516832718</v>
      </c>
    </row>
    <row r="22" spans="1:15" x14ac:dyDescent="0.3">
      <c r="A22">
        <v>9</v>
      </c>
      <c r="B22" s="150">
        <v>45560</v>
      </c>
      <c r="C22" s="85">
        <v>3786.1467369748311</v>
      </c>
      <c r="D22" s="85">
        <v>1171.2698147084407</v>
      </c>
      <c r="E22" s="85" t="s">
        <v>131</v>
      </c>
      <c r="F22" s="85" t="s">
        <v>131</v>
      </c>
      <c r="G22" s="85">
        <v>920</v>
      </c>
      <c r="H22" s="85">
        <v>0</v>
      </c>
      <c r="I22" s="85"/>
      <c r="J22" s="152">
        <f t="shared" si="0"/>
        <v>5877.4165516832718</v>
      </c>
    </row>
    <row r="23" spans="1:15" x14ac:dyDescent="0.3">
      <c r="A23">
        <v>10</v>
      </c>
      <c r="B23" s="150">
        <v>45590</v>
      </c>
      <c r="C23" s="85">
        <v>3802.5533728350551</v>
      </c>
      <c r="D23" s="85">
        <v>1154.8631788482164</v>
      </c>
      <c r="E23" s="85" t="s">
        <v>131</v>
      </c>
      <c r="F23" s="85" t="s">
        <v>131</v>
      </c>
      <c r="G23" s="85">
        <v>920</v>
      </c>
      <c r="H23" s="85">
        <v>0</v>
      </c>
      <c r="I23" s="85"/>
      <c r="J23" s="152">
        <f t="shared" si="0"/>
        <v>5877.4165516832718</v>
      </c>
    </row>
    <row r="24" spans="1:15" x14ac:dyDescent="0.3">
      <c r="A24">
        <v>11</v>
      </c>
      <c r="B24" s="150">
        <v>45621</v>
      </c>
      <c r="C24" s="85">
        <v>3819.0311041173409</v>
      </c>
      <c r="D24" s="85">
        <v>1138.3854475659314</v>
      </c>
      <c r="E24" s="85" t="s">
        <v>131</v>
      </c>
      <c r="F24" s="85" t="s">
        <v>131</v>
      </c>
      <c r="G24" s="85">
        <v>920</v>
      </c>
      <c r="H24" s="85">
        <v>0</v>
      </c>
      <c r="I24" s="85"/>
      <c r="J24" s="152">
        <f t="shared" si="0"/>
        <v>5877.4165516832727</v>
      </c>
    </row>
    <row r="25" spans="1:15" x14ac:dyDescent="0.3">
      <c r="A25">
        <v>12</v>
      </c>
      <c r="B25" s="150">
        <v>45651</v>
      </c>
      <c r="C25" s="85">
        <v>3835.5802389018486</v>
      </c>
      <c r="D25" s="85">
        <v>1121.8363127814227</v>
      </c>
      <c r="E25" s="85" t="s">
        <v>131</v>
      </c>
      <c r="F25" s="85">
        <v>0</v>
      </c>
      <c r="G25" s="85">
        <v>920</v>
      </c>
      <c r="H25" s="85">
        <v>0</v>
      </c>
      <c r="I25" s="85"/>
      <c r="J25" s="152">
        <f t="shared" si="0"/>
        <v>5877.4165516832709</v>
      </c>
    </row>
    <row r="26" spans="1:15" x14ac:dyDescent="0.3">
      <c r="A26">
        <v>13</v>
      </c>
      <c r="B26" s="150">
        <v>45682</v>
      </c>
      <c r="C26" s="85">
        <v>3852.2010866037567</v>
      </c>
      <c r="D26" s="85">
        <v>1105.2154650795146</v>
      </c>
      <c r="E26" s="85" t="s">
        <v>131</v>
      </c>
      <c r="F26" s="85" t="s">
        <v>131</v>
      </c>
      <c r="G26" s="85">
        <v>736</v>
      </c>
      <c r="H26" s="85">
        <v>0</v>
      </c>
      <c r="I26" s="85"/>
      <c r="J26" s="152">
        <f t="shared" si="0"/>
        <v>5693.4165516832709</v>
      </c>
    </row>
    <row r="27" spans="1:15" x14ac:dyDescent="0.3">
      <c r="A27">
        <v>14</v>
      </c>
      <c r="B27" s="150">
        <v>45713</v>
      </c>
      <c r="C27" s="85">
        <v>3868.8939579790399</v>
      </c>
      <c r="D27" s="85">
        <v>1088.5225937042317</v>
      </c>
      <c r="E27" s="85" t="s">
        <v>131</v>
      </c>
      <c r="F27" s="85" t="s">
        <v>131</v>
      </c>
      <c r="G27" s="85">
        <v>736</v>
      </c>
      <c r="H27" s="85">
        <v>0</v>
      </c>
      <c r="I27" s="85"/>
      <c r="J27" s="152">
        <f t="shared" si="0"/>
        <v>5693.4165516832718</v>
      </c>
    </row>
    <row r="28" spans="1:15" x14ac:dyDescent="0.3">
      <c r="A28">
        <v>15</v>
      </c>
      <c r="B28" s="150">
        <v>45741</v>
      </c>
      <c r="C28" s="85">
        <v>3885.6591651302824</v>
      </c>
      <c r="D28" s="85">
        <v>1071.7573865529894</v>
      </c>
      <c r="E28" s="85" t="s">
        <v>131</v>
      </c>
      <c r="F28" s="85" t="s">
        <v>131</v>
      </c>
      <c r="G28" s="85">
        <v>736</v>
      </c>
      <c r="H28" s="85">
        <v>0</v>
      </c>
      <c r="I28" s="85"/>
      <c r="J28" s="152">
        <f t="shared" si="0"/>
        <v>5693.4165516832718</v>
      </c>
    </row>
    <row r="29" spans="1:15" x14ac:dyDescent="0.3">
      <c r="A29">
        <v>16</v>
      </c>
      <c r="B29" s="150">
        <v>45772</v>
      </c>
      <c r="C29" s="85">
        <v>3902.4970215125136</v>
      </c>
      <c r="D29" s="85">
        <v>1054.919530170758</v>
      </c>
      <c r="E29" s="85" t="s">
        <v>131</v>
      </c>
      <c r="F29" s="85" t="s">
        <v>131</v>
      </c>
      <c r="G29" s="85">
        <v>736</v>
      </c>
      <c r="H29" s="85">
        <v>0</v>
      </c>
      <c r="I29" s="85"/>
      <c r="J29" s="152">
        <f t="shared" si="0"/>
        <v>5693.4165516832718</v>
      </c>
    </row>
    <row r="30" spans="1:15" x14ac:dyDescent="0.3">
      <c r="A30">
        <v>17</v>
      </c>
      <c r="B30" s="150">
        <v>45802</v>
      </c>
      <c r="C30" s="85">
        <v>3919.4078419390676</v>
      </c>
      <c r="D30" s="85">
        <v>1038.008709744204</v>
      </c>
      <c r="E30" s="85" t="s">
        <v>131</v>
      </c>
      <c r="F30" s="85" t="s">
        <v>131</v>
      </c>
      <c r="G30" s="85">
        <v>736</v>
      </c>
      <c r="H30" s="85">
        <v>0</v>
      </c>
      <c r="I30" s="85"/>
      <c r="J30" s="152">
        <f t="shared" si="0"/>
        <v>5693.4165516832718</v>
      </c>
    </row>
    <row r="31" spans="1:15" x14ac:dyDescent="0.3">
      <c r="A31">
        <v>18</v>
      </c>
      <c r="B31" s="150">
        <v>45833</v>
      </c>
      <c r="C31" s="85">
        <v>3936.3919425874706</v>
      </c>
      <c r="D31" s="85">
        <v>1021.0246090958011</v>
      </c>
      <c r="E31" s="85" t="s">
        <v>131</v>
      </c>
      <c r="F31" s="85" t="s">
        <v>131</v>
      </c>
      <c r="G31" s="85">
        <v>736</v>
      </c>
      <c r="H31" s="85">
        <v>0</v>
      </c>
      <c r="I31" s="85"/>
      <c r="J31" s="152">
        <f t="shared" si="0"/>
        <v>5693.4165516832718</v>
      </c>
    </row>
    <row r="32" spans="1:15" x14ac:dyDescent="0.3">
      <c r="A32">
        <v>19</v>
      </c>
      <c r="B32" s="150">
        <v>45863</v>
      </c>
      <c r="C32" s="85">
        <v>3953.4496410053498</v>
      </c>
      <c r="D32" s="85">
        <v>1003.9669106779222</v>
      </c>
      <c r="E32" s="85" t="s">
        <v>131</v>
      </c>
      <c r="F32" s="85" t="s">
        <v>131</v>
      </c>
      <c r="G32" s="85">
        <v>736</v>
      </c>
      <c r="H32" s="85">
        <v>0</v>
      </c>
      <c r="I32" s="85"/>
      <c r="J32" s="152">
        <f t="shared" si="0"/>
        <v>5693.4165516832718</v>
      </c>
    </row>
    <row r="33" spans="1:10" x14ac:dyDescent="0.3">
      <c r="A33">
        <v>20</v>
      </c>
      <c r="B33" s="150">
        <v>45894</v>
      </c>
      <c r="C33" s="85">
        <v>3970.581256116373</v>
      </c>
      <c r="D33" s="85">
        <v>986.83529556689905</v>
      </c>
      <c r="E33" s="85" t="s">
        <v>131</v>
      </c>
      <c r="F33" s="85" t="s">
        <v>131</v>
      </c>
      <c r="G33" s="85">
        <v>736</v>
      </c>
      <c r="H33" s="85">
        <v>0</v>
      </c>
      <c r="I33" s="85"/>
      <c r="J33" s="152">
        <f t="shared" si="0"/>
        <v>5693.4165516832718</v>
      </c>
    </row>
    <row r="34" spans="1:10" x14ac:dyDescent="0.3">
      <c r="A34">
        <v>21</v>
      </c>
      <c r="B34" s="150">
        <v>45925</v>
      </c>
      <c r="C34" s="85">
        <v>3987.7871082262104</v>
      </c>
      <c r="D34" s="85">
        <v>969.62944345706126</v>
      </c>
      <c r="E34" s="85" t="s">
        <v>131</v>
      </c>
      <c r="F34" s="85" t="s">
        <v>131</v>
      </c>
      <c r="G34" s="85">
        <v>736</v>
      </c>
      <c r="H34" s="85">
        <v>0</v>
      </c>
      <c r="I34" s="85"/>
      <c r="J34" s="152">
        <f t="shared" si="0"/>
        <v>5693.4165516832718</v>
      </c>
    </row>
    <row r="35" spans="1:10" x14ac:dyDescent="0.3">
      <c r="A35">
        <v>22</v>
      </c>
      <c r="B35" s="150">
        <v>45955</v>
      </c>
      <c r="C35" s="85">
        <v>4005.0675190285242</v>
      </c>
      <c r="D35" s="85">
        <v>952.3490326547477</v>
      </c>
      <c r="E35" s="85" t="s">
        <v>131</v>
      </c>
      <c r="F35" s="85" t="s">
        <v>131</v>
      </c>
      <c r="G35" s="85">
        <v>736</v>
      </c>
      <c r="H35" s="85">
        <v>0</v>
      </c>
      <c r="I35" s="85"/>
      <c r="J35" s="152">
        <f t="shared" si="0"/>
        <v>5693.4165516832718</v>
      </c>
    </row>
    <row r="36" spans="1:10" x14ac:dyDescent="0.3">
      <c r="A36">
        <v>23</v>
      </c>
      <c r="B36" s="150">
        <v>45986</v>
      </c>
      <c r="C36" s="85">
        <v>4022.4228116109807</v>
      </c>
      <c r="D36" s="85">
        <v>934.99374007229085</v>
      </c>
      <c r="E36" s="85" t="s">
        <v>131</v>
      </c>
      <c r="F36" s="85" t="s">
        <v>131</v>
      </c>
      <c r="G36" s="85">
        <v>736</v>
      </c>
      <c r="H36" s="85">
        <v>0</v>
      </c>
      <c r="I36" s="85"/>
      <c r="J36" s="152">
        <f t="shared" si="0"/>
        <v>5693.4165516832718</v>
      </c>
    </row>
    <row r="37" spans="1:10" x14ac:dyDescent="0.3">
      <c r="A37">
        <v>24</v>
      </c>
      <c r="B37" s="150">
        <v>46016</v>
      </c>
      <c r="C37" s="85">
        <v>4039.8533104612948</v>
      </c>
      <c r="D37" s="85">
        <v>917.56324122197657</v>
      </c>
      <c r="E37" s="85" t="s">
        <v>131</v>
      </c>
      <c r="F37" s="85">
        <v>0</v>
      </c>
      <c r="G37" s="85">
        <v>736</v>
      </c>
      <c r="H37" s="85">
        <v>0</v>
      </c>
      <c r="I37" s="85"/>
      <c r="J37" s="152">
        <f t="shared" si="0"/>
        <v>5693.4165516832709</v>
      </c>
    </row>
    <row r="38" spans="1:10" x14ac:dyDescent="0.3">
      <c r="A38">
        <v>25</v>
      </c>
      <c r="B38" s="150">
        <v>46047</v>
      </c>
      <c r="C38" s="85">
        <v>4057.3593414732941</v>
      </c>
      <c r="D38" s="85">
        <v>900.05721020997771</v>
      </c>
      <c r="E38" s="85" t="s">
        <v>131</v>
      </c>
      <c r="F38" s="85" t="s">
        <v>131</v>
      </c>
      <c r="G38" s="85">
        <v>551.99999999999989</v>
      </c>
      <c r="H38" s="85">
        <v>0</v>
      </c>
      <c r="I38" s="85"/>
      <c r="J38" s="152">
        <f t="shared" si="0"/>
        <v>5509.4165516832718</v>
      </c>
    </row>
    <row r="39" spans="1:10" x14ac:dyDescent="0.3">
      <c r="A39">
        <v>26</v>
      </c>
      <c r="B39" s="150">
        <v>46078</v>
      </c>
      <c r="C39" s="85">
        <v>4074.941231953012</v>
      </c>
      <c r="D39" s="85">
        <v>882.47531973026003</v>
      </c>
      <c r="E39" s="85" t="s">
        <v>131</v>
      </c>
      <c r="F39" s="85" t="s">
        <v>131</v>
      </c>
      <c r="G39" s="85">
        <v>551.99999999999989</v>
      </c>
      <c r="H39" s="85">
        <v>0</v>
      </c>
      <c r="I39" s="85"/>
      <c r="J39" s="152">
        <f t="shared" si="0"/>
        <v>5509.4165516832718</v>
      </c>
    </row>
    <row r="40" spans="1:10" x14ac:dyDescent="0.3">
      <c r="A40">
        <v>27</v>
      </c>
      <c r="B40" s="150">
        <v>46106</v>
      </c>
      <c r="C40" s="85">
        <v>4092.5993106248084</v>
      </c>
      <c r="D40" s="85">
        <v>864.81724105846365</v>
      </c>
      <c r="E40" s="85" t="s">
        <v>131</v>
      </c>
      <c r="F40" s="85" t="s">
        <v>131</v>
      </c>
      <c r="G40" s="85">
        <v>551.99999999999989</v>
      </c>
      <c r="H40" s="85">
        <v>0</v>
      </c>
      <c r="I40" s="85"/>
      <c r="J40" s="152">
        <f t="shared" si="0"/>
        <v>5509.4165516832718</v>
      </c>
    </row>
    <row r="41" spans="1:10" x14ac:dyDescent="0.3">
      <c r="A41">
        <v>28</v>
      </c>
      <c r="B41" s="150">
        <v>46137</v>
      </c>
      <c r="C41" s="85">
        <v>4110.333907637515</v>
      </c>
      <c r="D41" s="85">
        <v>847.08264404575607</v>
      </c>
      <c r="E41" s="85" t="s">
        <v>131</v>
      </c>
      <c r="F41" s="85" t="s">
        <v>131</v>
      </c>
      <c r="G41" s="85">
        <v>551.99999999999989</v>
      </c>
      <c r="H41" s="85">
        <v>0</v>
      </c>
      <c r="I41" s="85"/>
      <c r="J41" s="152">
        <f t="shared" si="0"/>
        <v>5509.4165516832709</v>
      </c>
    </row>
    <row r="42" spans="1:10" x14ac:dyDescent="0.3">
      <c r="A42">
        <v>29</v>
      </c>
      <c r="B42" s="150">
        <v>46167</v>
      </c>
      <c r="C42" s="85">
        <v>4128.1453545706117</v>
      </c>
      <c r="D42" s="85">
        <v>829.27119711266027</v>
      </c>
      <c r="E42" s="85" t="s">
        <v>131</v>
      </c>
      <c r="F42" s="85" t="s">
        <v>131</v>
      </c>
      <c r="G42" s="85">
        <v>551.99999999999989</v>
      </c>
      <c r="H42" s="85">
        <v>0</v>
      </c>
      <c r="I42" s="85"/>
      <c r="J42" s="152">
        <f t="shared" si="0"/>
        <v>5509.4165516832718</v>
      </c>
    </row>
    <row r="43" spans="1:10" x14ac:dyDescent="0.3">
      <c r="A43">
        <v>30</v>
      </c>
      <c r="B43" s="150">
        <v>46198</v>
      </c>
      <c r="C43" s="85">
        <v>4146.033984440417</v>
      </c>
      <c r="D43" s="85">
        <v>811.38256724285429</v>
      </c>
      <c r="E43" s="85" t="s">
        <v>131</v>
      </c>
      <c r="F43" s="85" t="s">
        <v>131</v>
      </c>
      <c r="G43" s="85">
        <v>551.99999999999989</v>
      </c>
      <c r="H43" s="85">
        <v>0</v>
      </c>
      <c r="I43" s="85"/>
      <c r="J43" s="152">
        <f t="shared" si="0"/>
        <v>5509.4165516832709</v>
      </c>
    </row>
    <row r="44" spans="1:10" x14ac:dyDescent="0.3">
      <c r="A44">
        <v>31</v>
      </c>
      <c r="B44" s="150">
        <v>46228</v>
      </c>
      <c r="C44" s="85">
        <v>4164.0001317063261</v>
      </c>
      <c r="D44" s="85">
        <v>793.41641997694569</v>
      </c>
      <c r="E44" s="85" t="s">
        <v>131</v>
      </c>
      <c r="F44" s="85" t="s">
        <v>131</v>
      </c>
      <c r="G44" s="85">
        <v>551.99999999999989</v>
      </c>
      <c r="H44" s="85">
        <v>0</v>
      </c>
      <c r="I44" s="85"/>
      <c r="J44" s="152">
        <f t="shared" si="0"/>
        <v>5509.4165516832718</v>
      </c>
    </row>
    <row r="45" spans="1:10" x14ac:dyDescent="0.3">
      <c r="A45">
        <v>32</v>
      </c>
      <c r="B45" s="150">
        <v>46259</v>
      </c>
      <c r="C45" s="85">
        <v>4182.044132277053</v>
      </c>
      <c r="D45" s="85">
        <v>775.37241940621846</v>
      </c>
      <c r="E45" s="85" t="s">
        <v>131</v>
      </c>
      <c r="F45" s="85" t="s">
        <v>131</v>
      </c>
      <c r="G45" s="85">
        <v>551.99999999999989</v>
      </c>
      <c r="H45" s="85">
        <v>0</v>
      </c>
      <c r="I45" s="85"/>
      <c r="J45" s="152">
        <f t="shared" si="0"/>
        <v>5509.4165516832718</v>
      </c>
    </row>
    <row r="46" spans="1:10" x14ac:dyDescent="0.3">
      <c r="A46">
        <v>33</v>
      </c>
      <c r="B46" s="150">
        <v>46290</v>
      </c>
      <c r="C46" s="85">
        <v>4200.1663235169208</v>
      </c>
      <c r="D46" s="85">
        <v>757.25022816635112</v>
      </c>
      <c r="E46" s="85" t="s">
        <v>131</v>
      </c>
      <c r="F46" s="85" t="s">
        <v>131</v>
      </c>
      <c r="G46" s="85">
        <v>551.99999999999989</v>
      </c>
      <c r="H46" s="85">
        <v>0</v>
      </c>
      <c r="I46" s="85"/>
      <c r="J46" s="152">
        <f t="shared" si="0"/>
        <v>5509.4165516832718</v>
      </c>
    </row>
    <row r="47" spans="1:10" x14ac:dyDescent="0.3">
      <c r="A47">
        <v>34</v>
      </c>
      <c r="B47" s="150">
        <v>46320</v>
      </c>
      <c r="C47" s="85">
        <v>4218.3670442521607</v>
      </c>
      <c r="D47" s="85">
        <v>739.04950743111112</v>
      </c>
      <c r="E47" s="85" t="s">
        <v>131</v>
      </c>
      <c r="F47" s="85" t="s">
        <v>131</v>
      </c>
      <c r="G47" s="85">
        <v>551.99999999999989</v>
      </c>
      <c r="H47" s="85">
        <v>0</v>
      </c>
      <c r="I47" s="85"/>
      <c r="J47" s="152">
        <f t="shared" si="0"/>
        <v>5509.4165516832718</v>
      </c>
    </row>
    <row r="48" spans="1:10" x14ac:dyDescent="0.3">
      <c r="A48">
        <v>35</v>
      </c>
      <c r="B48" s="150">
        <v>46351</v>
      </c>
      <c r="C48" s="85">
        <v>4236.646634777253</v>
      </c>
      <c r="D48" s="85">
        <v>720.76991690601847</v>
      </c>
      <c r="E48" s="85" t="s">
        <v>131</v>
      </c>
      <c r="F48" s="85" t="s">
        <v>131</v>
      </c>
      <c r="G48" s="85">
        <v>551.99999999999989</v>
      </c>
      <c r="H48" s="85">
        <v>0</v>
      </c>
      <c r="I48" s="85"/>
      <c r="J48" s="152">
        <f t="shared" si="0"/>
        <v>5509.4165516832718</v>
      </c>
    </row>
    <row r="49" spans="1:10" x14ac:dyDescent="0.3">
      <c r="A49">
        <v>36</v>
      </c>
      <c r="B49" s="150">
        <v>46381</v>
      </c>
      <c r="C49" s="85">
        <v>4255.0054368612882</v>
      </c>
      <c r="D49" s="85">
        <v>702.41111482198369</v>
      </c>
      <c r="E49" s="85" t="s">
        <v>131</v>
      </c>
      <c r="F49" s="85">
        <v>0</v>
      </c>
      <c r="G49" s="85">
        <v>551.99999999999989</v>
      </c>
      <c r="H49" s="85">
        <v>0</v>
      </c>
      <c r="I49" s="85"/>
      <c r="J49" s="152">
        <f t="shared" si="0"/>
        <v>5509.4165516832718</v>
      </c>
    </row>
    <row r="50" spans="1:10" x14ac:dyDescent="0.3">
      <c r="A50">
        <v>37</v>
      </c>
      <c r="B50" s="150">
        <v>46412</v>
      </c>
      <c r="C50" s="85">
        <v>4273.4437937543535</v>
      </c>
      <c r="D50" s="85">
        <v>683.9727579289181</v>
      </c>
      <c r="E50" s="85" t="s">
        <v>131</v>
      </c>
      <c r="F50" s="85" t="s">
        <v>131</v>
      </c>
      <c r="G50" s="85">
        <v>368</v>
      </c>
      <c r="H50" s="85">
        <v>0</v>
      </c>
      <c r="I50" s="85"/>
      <c r="J50" s="152">
        <f t="shared" si="0"/>
        <v>5325.4165516832718</v>
      </c>
    </row>
    <row r="51" spans="1:10" x14ac:dyDescent="0.3">
      <c r="A51">
        <v>38</v>
      </c>
      <c r="B51" s="150">
        <v>46443</v>
      </c>
      <c r="C51" s="85">
        <v>4291.9620501939562</v>
      </c>
      <c r="D51" s="85">
        <v>665.45450148931582</v>
      </c>
      <c r="E51" s="85" t="s">
        <v>131</v>
      </c>
      <c r="F51" s="85" t="s">
        <v>131</v>
      </c>
      <c r="G51" s="85">
        <v>368</v>
      </c>
      <c r="H51" s="85">
        <v>0</v>
      </c>
      <c r="I51" s="85"/>
      <c r="J51" s="152">
        <f t="shared" si="0"/>
        <v>5325.4165516832718</v>
      </c>
    </row>
    <row r="52" spans="1:10" x14ac:dyDescent="0.3">
      <c r="A52">
        <v>39</v>
      </c>
      <c r="B52" s="150">
        <v>46471</v>
      </c>
      <c r="C52" s="85">
        <v>4310.5605524114635</v>
      </c>
      <c r="D52" s="85">
        <v>646.85599927180874</v>
      </c>
      <c r="E52" s="85" t="s">
        <v>131</v>
      </c>
      <c r="F52" s="85" t="s">
        <v>131</v>
      </c>
      <c r="G52" s="85">
        <v>368</v>
      </c>
      <c r="H52" s="85">
        <v>0</v>
      </c>
      <c r="I52" s="85"/>
      <c r="J52" s="152">
        <f t="shared" si="0"/>
        <v>5325.4165516832727</v>
      </c>
    </row>
    <row r="53" spans="1:10" x14ac:dyDescent="0.3">
      <c r="A53">
        <v>40</v>
      </c>
      <c r="B53" s="150">
        <v>46502</v>
      </c>
      <c r="C53" s="85">
        <v>4329.2396481385795</v>
      </c>
      <c r="D53" s="85">
        <v>628.17690354469244</v>
      </c>
      <c r="E53" s="85" t="s">
        <v>131</v>
      </c>
      <c r="F53" s="85" t="s">
        <v>131</v>
      </c>
      <c r="G53" s="85">
        <v>368</v>
      </c>
      <c r="H53" s="85">
        <v>0</v>
      </c>
      <c r="I53" s="85"/>
      <c r="J53" s="152">
        <f t="shared" si="0"/>
        <v>5325.4165516832718</v>
      </c>
    </row>
    <row r="54" spans="1:10" x14ac:dyDescent="0.3">
      <c r="A54">
        <v>41</v>
      </c>
      <c r="B54" s="150">
        <v>46532</v>
      </c>
      <c r="C54" s="85">
        <v>4347.9996866138463</v>
      </c>
      <c r="D54" s="85">
        <v>609.41686506942528</v>
      </c>
      <c r="E54" s="85" t="s">
        <v>131</v>
      </c>
      <c r="F54" s="85" t="s">
        <v>131</v>
      </c>
      <c r="G54" s="85">
        <v>368</v>
      </c>
      <c r="H54" s="85">
        <v>0</v>
      </c>
      <c r="I54" s="85"/>
      <c r="J54" s="152">
        <f t="shared" si="0"/>
        <v>5325.4165516832718</v>
      </c>
    </row>
    <row r="55" spans="1:10" x14ac:dyDescent="0.3">
      <c r="A55">
        <v>42</v>
      </c>
      <c r="B55" s="150">
        <v>46563</v>
      </c>
      <c r="C55" s="85">
        <v>4366.8410185891726</v>
      </c>
      <c r="D55" s="85">
        <v>590.57553309409855</v>
      </c>
      <c r="E55" s="85" t="s">
        <v>131</v>
      </c>
      <c r="F55" s="85" t="s">
        <v>131</v>
      </c>
      <c r="G55" s="85">
        <v>368</v>
      </c>
      <c r="H55" s="85">
        <v>0</v>
      </c>
      <c r="I55" s="85"/>
      <c r="J55" s="152">
        <f t="shared" si="0"/>
        <v>5325.4165516832709</v>
      </c>
    </row>
    <row r="56" spans="1:10" x14ac:dyDescent="0.3">
      <c r="A56">
        <v>43</v>
      </c>
      <c r="B56" s="150">
        <v>46593</v>
      </c>
      <c r="C56" s="85">
        <v>4385.7639963363927</v>
      </c>
      <c r="D56" s="85">
        <v>571.6525553468789</v>
      </c>
      <c r="E56" s="85" t="s">
        <v>131</v>
      </c>
      <c r="F56" s="85" t="s">
        <v>131</v>
      </c>
      <c r="G56" s="85">
        <v>368</v>
      </c>
      <c r="H56" s="85">
        <v>0</v>
      </c>
      <c r="I56" s="85"/>
      <c r="J56" s="152">
        <f t="shared" si="0"/>
        <v>5325.4165516832718</v>
      </c>
    </row>
    <row r="57" spans="1:10" x14ac:dyDescent="0.3">
      <c r="A57">
        <v>44</v>
      </c>
      <c r="B57" s="150">
        <v>46624</v>
      </c>
      <c r="C57" s="85">
        <v>4404.7689736538505</v>
      </c>
      <c r="D57" s="85">
        <v>552.6475780294212</v>
      </c>
      <c r="E57" s="85" t="s">
        <v>131</v>
      </c>
      <c r="F57" s="85" t="s">
        <v>131</v>
      </c>
      <c r="G57" s="85">
        <v>368</v>
      </c>
      <c r="H57" s="85">
        <v>0</v>
      </c>
      <c r="I57" s="85"/>
      <c r="J57" s="152">
        <f t="shared" si="0"/>
        <v>5325.4165516832718</v>
      </c>
    </row>
    <row r="58" spans="1:10" x14ac:dyDescent="0.3">
      <c r="A58">
        <v>45</v>
      </c>
      <c r="B58" s="150">
        <v>46655</v>
      </c>
      <c r="C58" s="85">
        <v>4423.8563058730169</v>
      </c>
      <c r="D58" s="85">
        <v>533.5602458102544</v>
      </c>
      <c r="E58" s="85" t="s">
        <v>131</v>
      </c>
      <c r="F58" s="85" t="s">
        <v>131</v>
      </c>
      <c r="G58" s="85">
        <v>368</v>
      </c>
      <c r="H58" s="85">
        <v>0</v>
      </c>
      <c r="I58" s="85"/>
      <c r="J58" s="152">
        <f t="shared" si="0"/>
        <v>5325.4165516832709</v>
      </c>
    </row>
    <row r="59" spans="1:10" x14ac:dyDescent="0.3">
      <c r="A59">
        <v>46</v>
      </c>
      <c r="B59" s="150">
        <v>46685</v>
      </c>
      <c r="C59" s="85">
        <v>4443.0263498651339</v>
      </c>
      <c r="D59" s="85">
        <v>514.39020181813805</v>
      </c>
      <c r="E59" s="85" t="s">
        <v>131</v>
      </c>
      <c r="F59" s="85" t="s">
        <v>131</v>
      </c>
      <c r="G59" s="85">
        <v>368</v>
      </c>
      <c r="H59" s="85">
        <v>0</v>
      </c>
      <c r="I59" s="85"/>
      <c r="J59" s="152">
        <f t="shared" si="0"/>
        <v>5325.4165516832718</v>
      </c>
    </row>
    <row r="60" spans="1:10" x14ac:dyDescent="0.3">
      <c r="A60">
        <v>47</v>
      </c>
      <c r="B60" s="150">
        <v>46716</v>
      </c>
      <c r="C60" s="85">
        <v>4462.2794640478824</v>
      </c>
      <c r="D60" s="85">
        <v>495.13708763538915</v>
      </c>
      <c r="E60" s="85" t="s">
        <v>131</v>
      </c>
      <c r="F60" s="85" t="s">
        <v>131</v>
      </c>
      <c r="G60" s="85">
        <v>368</v>
      </c>
      <c r="H60" s="85">
        <v>0</v>
      </c>
      <c r="I60" s="85"/>
      <c r="J60" s="152">
        <f t="shared" si="0"/>
        <v>5325.4165516832718</v>
      </c>
    </row>
    <row r="61" spans="1:10" x14ac:dyDescent="0.3">
      <c r="A61">
        <v>48</v>
      </c>
      <c r="B61" s="150">
        <v>46746</v>
      </c>
      <c r="C61" s="85">
        <v>4481.6160083920904</v>
      </c>
      <c r="D61" s="85">
        <v>475.80054329118161</v>
      </c>
      <c r="E61" s="85" t="s">
        <v>131</v>
      </c>
      <c r="F61" s="85">
        <v>0</v>
      </c>
      <c r="G61" s="85">
        <v>368</v>
      </c>
      <c r="H61" s="85">
        <v>0</v>
      </c>
      <c r="I61" s="85"/>
      <c r="J61" s="152">
        <f t="shared" si="0"/>
        <v>5325.4165516832718</v>
      </c>
    </row>
    <row r="62" spans="1:10" x14ac:dyDescent="0.3">
      <c r="A62">
        <v>49</v>
      </c>
      <c r="B62" s="150">
        <v>46777</v>
      </c>
      <c r="C62" s="85">
        <v>4501.0363444284558</v>
      </c>
      <c r="D62" s="85">
        <v>456.38020725481596</v>
      </c>
      <c r="E62" s="85" t="s">
        <v>131</v>
      </c>
      <c r="F62" s="85" t="s">
        <v>131</v>
      </c>
      <c r="G62" s="85">
        <v>184</v>
      </c>
      <c r="H62" s="85">
        <v>0</v>
      </c>
      <c r="I62" s="85"/>
      <c r="J62" s="152">
        <f t="shared" si="0"/>
        <v>5141.4165516832718</v>
      </c>
    </row>
    <row r="63" spans="1:10" x14ac:dyDescent="0.3">
      <c r="A63">
        <v>50</v>
      </c>
      <c r="B63" s="150">
        <v>46808</v>
      </c>
      <c r="C63" s="85">
        <v>4520.5408352543127</v>
      </c>
      <c r="D63" s="85">
        <v>436.87571642895932</v>
      </c>
      <c r="E63" s="85" t="s">
        <v>131</v>
      </c>
      <c r="F63" s="85" t="s">
        <v>131</v>
      </c>
      <c r="G63" s="85">
        <v>184</v>
      </c>
      <c r="H63" s="85">
        <v>0</v>
      </c>
      <c r="I63" s="85"/>
      <c r="J63" s="152">
        <f t="shared" si="0"/>
        <v>5141.4165516832718</v>
      </c>
    </row>
    <row r="64" spans="1:10" x14ac:dyDescent="0.3">
      <c r="A64">
        <v>51</v>
      </c>
      <c r="B64" s="150">
        <v>46837</v>
      </c>
      <c r="C64" s="85">
        <v>4540.1298455404149</v>
      </c>
      <c r="D64" s="85">
        <v>417.28670614285727</v>
      </c>
      <c r="E64" s="85" t="s">
        <v>131</v>
      </c>
      <c r="F64" s="85" t="s">
        <v>131</v>
      </c>
      <c r="G64" s="85">
        <v>184</v>
      </c>
      <c r="H64" s="85">
        <v>0</v>
      </c>
      <c r="I64" s="85"/>
      <c r="J64" s="152">
        <f t="shared" si="0"/>
        <v>5141.4165516832718</v>
      </c>
    </row>
    <row r="65" spans="1:10" x14ac:dyDescent="0.3">
      <c r="A65">
        <v>52</v>
      </c>
      <c r="B65" s="150">
        <v>46868</v>
      </c>
      <c r="C65" s="85">
        <v>4559.8037415377567</v>
      </c>
      <c r="D65" s="85">
        <v>397.61281014551548</v>
      </c>
      <c r="E65" s="85" t="s">
        <v>131</v>
      </c>
      <c r="F65" s="85" t="s">
        <v>131</v>
      </c>
      <c r="G65" s="85">
        <v>184</v>
      </c>
      <c r="H65" s="85">
        <v>0</v>
      </c>
      <c r="I65" s="85"/>
      <c r="J65" s="152">
        <f t="shared" si="0"/>
        <v>5141.4165516832718</v>
      </c>
    </row>
    <row r="66" spans="1:10" x14ac:dyDescent="0.3">
      <c r="A66">
        <v>53</v>
      </c>
      <c r="B66" s="150">
        <v>46898</v>
      </c>
      <c r="C66" s="85">
        <v>4579.5628910844198</v>
      </c>
      <c r="D66" s="85">
        <v>377.85366059885189</v>
      </c>
      <c r="E66" s="85" t="s">
        <v>131</v>
      </c>
      <c r="F66" s="85" t="s">
        <v>131</v>
      </c>
      <c r="G66" s="85">
        <v>184</v>
      </c>
      <c r="H66" s="85">
        <v>0</v>
      </c>
      <c r="I66" s="85"/>
      <c r="J66" s="152">
        <f t="shared" si="0"/>
        <v>5141.4165516832718</v>
      </c>
    </row>
    <row r="67" spans="1:10" x14ac:dyDescent="0.3">
      <c r="A67">
        <v>54</v>
      </c>
      <c r="B67" s="150">
        <v>46929</v>
      </c>
      <c r="C67" s="85">
        <v>4599.4076636124528</v>
      </c>
      <c r="D67" s="85">
        <v>358.00888807081941</v>
      </c>
      <c r="E67" s="85" t="s">
        <v>131</v>
      </c>
      <c r="F67" s="85" t="s">
        <v>131</v>
      </c>
      <c r="G67" s="85">
        <v>184</v>
      </c>
      <c r="H67" s="85">
        <v>0</v>
      </c>
      <c r="I67" s="85"/>
      <c r="J67" s="152">
        <f t="shared" si="0"/>
        <v>5141.4165516832718</v>
      </c>
    </row>
    <row r="68" spans="1:10" x14ac:dyDescent="0.3">
      <c r="A68">
        <v>55</v>
      </c>
      <c r="B68" s="150">
        <v>46959</v>
      </c>
      <c r="C68" s="85">
        <v>4619.3384301547731</v>
      </c>
      <c r="D68" s="85">
        <v>338.0781215284988</v>
      </c>
      <c r="E68" s="85" t="s">
        <v>131</v>
      </c>
      <c r="F68" s="85" t="s">
        <v>131</v>
      </c>
      <c r="G68" s="85">
        <v>184</v>
      </c>
      <c r="H68" s="85">
        <v>0</v>
      </c>
      <c r="I68" s="85"/>
      <c r="J68" s="152">
        <f t="shared" si="0"/>
        <v>5141.4165516832718</v>
      </c>
    </row>
    <row r="69" spans="1:10" x14ac:dyDescent="0.3">
      <c r="A69">
        <v>56</v>
      </c>
      <c r="B69" s="150">
        <v>46990</v>
      </c>
      <c r="C69" s="85">
        <v>4639.35556335211</v>
      </c>
      <c r="D69" s="85">
        <v>318.06098833116147</v>
      </c>
      <c r="E69" s="85" t="s">
        <v>131</v>
      </c>
      <c r="F69" s="85" t="s">
        <v>131</v>
      </c>
      <c r="G69" s="85">
        <v>184</v>
      </c>
      <c r="H69" s="85">
        <v>0</v>
      </c>
      <c r="I69" s="85"/>
      <c r="J69" s="152">
        <f t="shared" si="0"/>
        <v>5141.4165516832718</v>
      </c>
    </row>
    <row r="70" spans="1:10" x14ac:dyDescent="0.3">
      <c r="A70">
        <v>57</v>
      </c>
      <c r="B70" s="150">
        <v>47021</v>
      </c>
      <c r="C70" s="85">
        <v>4659.4594374599692</v>
      </c>
      <c r="D70" s="85">
        <v>297.95711422330231</v>
      </c>
      <c r="E70" s="85" t="s">
        <v>131</v>
      </c>
      <c r="F70" s="85" t="s">
        <v>131</v>
      </c>
      <c r="G70" s="85">
        <v>184</v>
      </c>
      <c r="H70" s="85">
        <v>0</v>
      </c>
      <c r="I70" s="85"/>
      <c r="J70" s="152">
        <f t="shared" si="0"/>
        <v>5141.4165516832718</v>
      </c>
    </row>
    <row r="71" spans="1:10" x14ac:dyDescent="0.3">
      <c r="A71">
        <v>58</v>
      </c>
      <c r="B71" s="150">
        <v>47051</v>
      </c>
      <c r="C71" s="85">
        <v>4679.6504283556296</v>
      </c>
      <c r="D71" s="85">
        <v>277.76612332764245</v>
      </c>
      <c r="E71" s="85" t="s">
        <v>131</v>
      </c>
      <c r="F71" s="85" t="s">
        <v>131</v>
      </c>
      <c r="G71" s="85">
        <v>184</v>
      </c>
      <c r="H71" s="85">
        <v>0</v>
      </c>
      <c r="I71" s="85"/>
      <c r="J71" s="152">
        <f t="shared" si="0"/>
        <v>5141.4165516832718</v>
      </c>
    </row>
    <row r="72" spans="1:10" x14ac:dyDescent="0.3">
      <c r="A72">
        <v>59</v>
      </c>
      <c r="B72" s="150">
        <v>47082</v>
      </c>
      <c r="C72" s="85">
        <v>4699.9289135451709</v>
      </c>
      <c r="D72" s="85">
        <v>257.48763813810137</v>
      </c>
      <c r="E72" s="85" t="s">
        <v>131</v>
      </c>
      <c r="F72" s="85" t="s">
        <v>131</v>
      </c>
      <c r="G72" s="85">
        <v>184</v>
      </c>
      <c r="H72" s="85">
        <v>0</v>
      </c>
      <c r="I72" s="85"/>
      <c r="J72" s="152">
        <f t="shared" si="0"/>
        <v>5141.4165516832727</v>
      </c>
    </row>
    <row r="73" spans="1:10" x14ac:dyDescent="0.3">
      <c r="A73">
        <v>60</v>
      </c>
      <c r="B73" s="150">
        <v>47112</v>
      </c>
      <c r="C73" s="85">
        <f>4720.29527217053+50000</f>
        <v>54720.29527217053</v>
      </c>
      <c r="D73" s="85">
        <v>237.12127951273894</v>
      </c>
      <c r="E73" s="85" t="s">
        <v>131</v>
      </c>
      <c r="F73" s="85">
        <v>0</v>
      </c>
      <c r="G73" s="85">
        <v>184</v>
      </c>
      <c r="H73" s="85">
        <v>0</v>
      </c>
      <c r="I73" s="85"/>
      <c r="J73" s="152">
        <f t="shared" si="0"/>
        <v>55141.416551683265</v>
      </c>
    </row>
    <row r="74" spans="1:10" x14ac:dyDescent="0.3">
      <c r="A74">
        <v>61</v>
      </c>
      <c r="B74" s="150"/>
      <c r="C74" s="85">
        <v>0</v>
      </c>
      <c r="D74" s="85">
        <v>0</v>
      </c>
      <c r="E74" s="85"/>
      <c r="F74" s="85"/>
      <c r="G74" s="85"/>
      <c r="H74" s="85"/>
      <c r="I74" s="85"/>
      <c r="J74" s="152" t="str">
        <f t="shared" si="0"/>
        <v/>
      </c>
    </row>
    <row r="75" spans="1:10" x14ac:dyDescent="0.3">
      <c r="A75">
        <v>62</v>
      </c>
      <c r="B75" s="150"/>
      <c r="C75" s="85">
        <v>0</v>
      </c>
      <c r="D75" s="85">
        <v>0</v>
      </c>
      <c r="E75" s="85"/>
      <c r="F75" s="85"/>
      <c r="G75" s="85"/>
      <c r="H75" s="85"/>
      <c r="I75" s="85"/>
      <c r="J75" s="152" t="str">
        <f t="shared" si="0"/>
        <v/>
      </c>
    </row>
    <row r="76" spans="1:10" x14ac:dyDescent="0.3">
      <c r="A76">
        <v>63</v>
      </c>
      <c r="B76" s="150"/>
      <c r="C76" s="85">
        <v>0</v>
      </c>
      <c r="D76" s="85">
        <v>0</v>
      </c>
      <c r="E76" s="85"/>
      <c r="F76" s="85"/>
      <c r="G76" s="85"/>
      <c r="H76" s="85"/>
      <c r="I76" s="85"/>
      <c r="J76" s="152" t="str">
        <f t="shared" si="0"/>
        <v/>
      </c>
    </row>
    <row r="77" spans="1:10" x14ac:dyDescent="0.3">
      <c r="A77">
        <v>64</v>
      </c>
      <c r="B77" s="150"/>
      <c r="C77" s="85">
        <v>0</v>
      </c>
      <c r="D77" s="85">
        <v>0</v>
      </c>
      <c r="E77" s="85"/>
      <c r="F77" s="85"/>
      <c r="G77" s="85"/>
      <c r="H77" s="85"/>
      <c r="I77" s="85"/>
      <c r="J77" s="152" t="str">
        <f t="shared" si="0"/>
        <v/>
      </c>
    </row>
    <row r="78" spans="1:10" x14ac:dyDescent="0.3">
      <c r="A78">
        <v>65</v>
      </c>
      <c r="B78" s="150"/>
      <c r="C78" s="85">
        <v>0</v>
      </c>
      <c r="D78" s="85">
        <v>0</v>
      </c>
      <c r="E78" s="85"/>
      <c r="F78" s="85"/>
      <c r="G78" s="85"/>
      <c r="H78" s="85"/>
      <c r="I78" s="85"/>
      <c r="J78" s="152" t="str">
        <f t="shared" si="0"/>
        <v/>
      </c>
    </row>
    <row r="79" spans="1:10" x14ac:dyDescent="0.3">
      <c r="A79">
        <v>66</v>
      </c>
      <c r="B79" s="150"/>
      <c r="C79" s="85">
        <v>0</v>
      </c>
      <c r="D79" s="85">
        <v>0</v>
      </c>
      <c r="E79" s="85"/>
      <c r="F79" s="85"/>
      <c r="G79" s="85"/>
      <c r="H79" s="85"/>
      <c r="I79" s="85"/>
      <c r="J79" s="152" t="str">
        <f t="shared" ref="J79:J142" si="1">IF(B79&lt;&gt;"",SUM(C79:I79),"")</f>
        <v/>
      </c>
    </row>
    <row r="80" spans="1:10" x14ac:dyDescent="0.3">
      <c r="A80">
        <v>67</v>
      </c>
      <c r="B80" s="150"/>
      <c r="C80" s="85">
        <v>0</v>
      </c>
      <c r="D80" s="85">
        <v>0</v>
      </c>
      <c r="E80" s="85"/>
      <c r="F80" s="85"/>
      <c r="G80" s="85"/>
      <c r="H80" s="85"/>
      <c r="I80" s="85"/>
      <c r="J80" s="152" t="str">
        <f t="shared" si="1"/>
        <v/>
      </c>
    </row>
    <row r="81" spans="1:10" x14ac:dyDescent="0.3">
      <c r="A81">
        <v>68</v>
      </c>
      <c r="B81" s="150"/>
      <c r="C81" s="85">
        <v>0</v>
      </c>
      <c r="D81" s="85">
        <v>0</v>
      </c>
      <c r="E81" s="85"/>
      <c r="F81" s="85"/>
      <c r="G81" s="85"/>
      <c r="H81" s="85"/>
      <c r="I81" s="85"/>
      <c r="J81" s="152" t="str">
        <f t="shared" si="1"/>
        <v/>
      </c>
    </row>
    <row r="82" spans="1:10" x14ac:dyDescent="0.3">
      <c r="A82">
        <v>69</v>
      </c>
      <c r="B82" s="150"/>
      <c r="C82" s="85">
        <v>0</v>
      </c>
      <c r="D82" s="85">
        <v>0</v>
      </c>
      <c r="E82" s="85"/>
      <c r="F82" s="85"/>
      <c r="G82" s="85"/>
      <c r="H82" s="85"/>
      <c r="I82" s="85"/>
      <c r="J82" s="152" t="str">
        <f t="shared" si="1"/>
        <v/>
      </c>
    </row>
    <row r="83" spans="1:10" x14ac:dyDescent="0.3">
      <c r="A83">
        <v>70</v>
      </c>
      <c r="B83" s="150"/>
      <c r="C83" s="85">
        <v>0</v>
      </c>
      <c r="D83" s="85">
        <v>0</v>
      </c>
      <c r="E83" s="85"/>
      <c r="F83" s="85"/>
      <c r="G83" s="85"/>
      <c r="H83" s="85"/>
      <c r="I83" s="85"/>
      <c r="J83" s="152" t="str">
        <f t="shared" si="1"/>
        <v/>
      </c>
    </row>
    <row r="84" spans="1:10" x14ac:dyDescent="0.3">
      <c r="A84">
        <v>71</v>
      </c>
      <c r="B84" s="150"/>
      <c r="C84" s="85">
        <v>0</v>
      </c>
      <c r="D84" s="85">
        <v>0</v>
      </c>
      <c r="E84" s="85"/>
      <c r="F84" s="85"/>
      <c r="G84" s="85"/>
      <c r="H84" s="85"/>
      <c r="I84" s="85"/>
      <c r="J84" s="152" t="str">
        <f t="shared" si="1"/>
        <v/>
      </c>
    </row>
    <row r="85" spans="1:10" x14ac:dyDescent="0.3">
      <c r="A85">
        <v>72</v>
      </c>
      <c r="B85" s="150"/>
      <c r="C85" s="85">
        <v>0</v>
      </c>
      <c r="D85" s="85">
        <v>0</v>
      </c>
      <c r="E85" s="85"/>
      <c r="F85" s="85"/>
      <c r="G85" s="85"/>
      <c r="H85" s="85"/>
      <c r="I85" s="85"/>
      <c r="J85" s="152" t="str">
        <f t="shared" si="1"/>
        <v/>
      </c>
    </row>
    <row r="86" spans="1:10" x14ac:dyDescent="0.3">
      <c r="A86">
        <v>73</v>
      </c>
      <c r="B86" s="150"/>
      <c r="C86" s="85">
        <v>0</v>
      </c>
      <c r="D86" s="85">
        <v>0</v>
      </c>
      <c r="E86" s="85"/>
      <c r="F86" s="85"/>
      <c r="G86" s="85"/>
      <c r="H86" s="85"/>
      <c r="I86" s="85"/>
      <c r="J86" s="152" t="str">
        <f t="shared" si="1"/>
        <v/>
      </c>
    </row>
    <row r="87" spans="1:10" x14ac:dyDescent="0.3">
      <c r="A87">
        <v>74</v>
      </c>
      <c r="B87" s="150"/>
      <c r="C87" s="85">
        <v>0</v>
      </c>
      <c r="D87" s="85">
        <v>0</v>
      </c>
      <c r="E87" s="85"/>
      <c r="F87" s="85"/>
      <c r="G87" s="85"/>
      <c r="H87" s="85"/>
      <c r="I87" s="85"/>
      <c r="J87" s="152" t="str">
        <f t="shared" si="1"/>
        <v/>
      </c>
    </row>
    <row r="88" spans="1:10" x14ac:dyDescent="0.3">
      <c r="A88">
        <v>75</v>
      </c>
      <c r="B88" s="150"/>
      <c r="C88" s="85">
        <v>0</v>
      </c>
      <c r="D88" s="85">
        <v>0</v>
      </c>
      <c r="E88" s="85"/>
      <c r="F88" s="85"/>
      <c r="G88" s="85"/>
      <c r="H88" s="85"/>
      <c r="I88" s="85"/>
      <c r="J88" s="152" t="str">
        <f t="shared" si="1"/>
        <v/>
      </c>
    </row>
    <row r="89" spans="1:10" x14ac:dyDescent="0.3">
      <c r="A89">
        <v>76</v>
      </c>
      <c r="B89" s="150"/>
      <c r="C89" s="85">
        <v>0</v>
      </c>
      <c r="D89" s="85">
        <v>0</v>
      </c>
      <c r="E89" s="85"/>
      <c r="F89" s="85"/>
      <c r="G89" s="85"/>
      <c r="H89" s="85"/>
      <c r="I89" s="85"/>
      <c r="J89" s="152" t="str">
        <f t="shared" si="1"/>
        <v/>
      </c>
    </row>
    <row r="90" spans="1:10" x14ac:dyDescent="0.3">
      <c r="A90">
        <v>77</v>
      </c>
      <c r="B90" s="150"/>
      <c r="C90" s="85">
        <v>0</v>
      </c>
      <c r="D90" s="85">
        <v>0</v>
      </c>
      <c r="E90" s="85"/>
      <c r="F90" s="85"/>
      <c r="G90" s="85"/>
      <c r="H90" s="85"/>
      <c r="I90" s="85"/>
      <c r="J90" s="152" t="str">
        <f t="shared" si="1"/>
        <v/>
      </c>
    </row>
    <row r="91" spans="1:10" x14ac:dyDescent="0.3">
      <c r="A91">
        <v>78</v>
      </c>
      <c r="B91" s="150"/>
      <c r="C91" s="85">
        <v>0</v>
      </c>
      <c r="D91" s="85">
        <v>0</v>
      </c>
      <c r="E91" s="85"/>
      <c r="F91" s="85"/>
      <c r="G91" s="85"/>
      <c r="H91" s="85"/>
      <c r="I91" s="85"/>
      <c r="J91" s="152" t="str">
        <f t="shared" si="1"/>
        <v/>
      </c>
    </row>
    <row r="92" spans="1:10" x14ac:dyDescent="0.3">
      <c r="A92">
        <v>79</v>
      </c>
      <c r="B92" s="150"/>
      <c r="C92" s="85">
        <v>0</v>
      </c>
      <c r="D92" s="85">
        <v>0</v>
      </c>
      <c r="E92" s="85"/>
      <c r="F92" s="85"/>
      <c r="G92" s="85"/>
      <c r="H92" s="85"/>
      <c r="I92" s="85"/>
      <c r="J92" s="152" t="str">
        <f t="shared" si="1"/>
        <v/>
      </c>
    </row>
    <row r="93" spans="1:10" x14ac:dyDescent="0.3">
      <c r="A93">
        <v>80</v>
      </c>
      <c r="B93" s="150"/>
      <c r="C93" s="85">
        <v>0</v>
      </c>
      <c r="D93" s="85">
        <v>0</v>
      </c>
      <c r="E93" s="85"/>
      <c r="F93" s="85"/>
      <c r="G93" s="85"/>
      <c r="H93" s="85"/>
      <c r="I93" s="85"/>
      <c r="J93" s="152" t="str">
        <f t="shared" si="1"/>
        <v/>
      </c>
    </row>
    <row r="94" spans="1:10" x14ac:dyDescent="0.3">
      <c r="A94">
        <v>81</v>
      </c>
      <c r="B94" s="150"/>
      <c r="C94" s="85">
        <v>0</v>
      </c>
      <c r="D94" s="85">
        <v>0</v>
      </c>
      <c r="E94" s="85"/>
      <c r="F94" s="85"/>
      <c r="G94" s="85"/>
      <c r="H94" s="85"/>
      <c r="I94" s="85"/>
      <c r="J94" s="152" t="str">
        <f t="shared" si="1"/>
        <v/>
      </c>
    </row>
    <row r="95" spans="1:10" x14ac:dyDescent="0.3">
      <c r="A95">
        <v>82</v>
      </c>
      <c r="B95" s="150"/>
      <c r="C95" s="85">
        <v>0</v>
      </c>
      <c r="D95" s="85">
        <v>0</v>
      </c>
      <c r="E95" s="85"/>
      <c r="F95" s="85"/>
      <c r="G95" s="85"/>
      <c r="H95" s="85"/>
      <c r="I95" s="85"/>
      <c r="J95" s="152" t="str">
        <f t="shared" si="1"/>
        <v/>
      </c>
    </row>
    <row r="96" spans="1:10" x14ac:dyDescent="0.3">
      <c r="A96">
        <v>83</v>
      </c>
      <c r="B96" s="150"/>
      <c r="C96" s="85">
        <v>0</v>
      </c>
      <c r="D96" s="85">
        <v>0</v>
      </c>
      <c r="E96" s="85"/>
      <c r="F96" s="85"/>
      <c r="G96" s="85"/>
      <c r="H96" s="85"/>
      <c r="I96" s="85"/>
      <c r="J96" s="152" t="str">
        <f t="shared" si="1"/>
        <v/>
      </c>
    </row>
    <row r="97" spans="1:10" x14ac:dyDescent="0.3">
      <c r="A97">
        <v>84</v>
      </c>
      <c r="B97" s="150"/>
      <c r="C97" s="85">
        <v>0</v>
      </c>
      <c r="D97" s="85">
        <v>0</v>
      </c>
      <c r="E97" s="85"/>
      <c r="F97" s="85"/>
      <c r="G97" s="85"/>
      <c r="H97" s="85"/>
      <c r="I97" s="85"/>
      <c r="J97" s="152" t="str">
        <f t="shared" si="1"/>
        <v/>
      </c>
    </row>
    <row r="98" spans="1:10" x14ac:dyDescent="0.3">
      <c r="A98">
        <v>85</v>
      </c>
      <c r="B98" s="150"/>
      <c r="C98" s="85">
        <v>0</v>
      </c>
      <c r="D98" s="85">
        <v>0</v>
      </c>
      <c r="E98" s="85"/>
      <c r="F98" s="85"/>
      <c r="G98" s="85"/>
      <c r="H98" s="85"/>
      <c r="I98" s="85"/>
      <c r="J98" s="152" t="str">
        <f t="shared" si="1"/>
        <v/>
      </c>
    </row>
    <row r="99" spans="1:10" x14ac:dyDescent="0.3">
      <c r="A99">
        <v>86</v>
      </c>
      <c r="B99" s="150"/>
      <c r="C99" s="85">
        <v>0</v>
      </c>
      <c r="D99" s="85">
        <v>0</v>
      </c>
      <c r="E99" s="85"/>
      <c r="F99" s="85"/>
      <c r="G99" s="85"/>
      <c r="H99" s="85"/>
      <c r="I99" s="85"/>
      <c r="J99" s="152" t="str">
        <f t="shared" si="1"/>
        <v/>
      </c>
    </row>
    <row r="100" spans="1:10" x14ac:dyDescent="0.3">
      <c r="A100">
        <v>87</v>
      </c>
      <c r="B100" s="150"/>
      <c r="C100" s="85">
        <v>0</v>
      </c>
      <c r="D100" s="85">
        <v>0</v>
      </c>
      <c r="E100" s="85"/>
      <c r="F100" s="85"/>
      <c r="G100" s="85"/>
      <c r="H100" s="85"/>
      <c r="I100" s="85"/>
      <c r="J100" s="152" t="str">
        <f t="shared" si="1"/>
        <v/>
      </c>
    </row>
    <row r="101" spans="1:10" x14ac:dyDescent="0.3">
      <c r="A101">
        <v>88</v>
      </c>
      <c r="B101" s="150"/>
      <c r="C101" s="85">
        <v>0</v>
      </c>
      <c r="D101" s="85">
        <v>0</v>
      </c>
      <c r="E101" s="85"/>
      <c r="F101" s="85"/>
      <c r="G101" s="85"/>
      <c r="H101" s="85"/>
      <c r="I101" s="85"/>
      <c r="J101" s="152" t="str">
        <f t="shared" si="1"/>
        <v/>
      </c>
    </row>
    <row r="102" spans="1:10" x14ac:dyDescent="0.3">
      <c r="A102">
        <v>89</v>
      </c>
      <c r="B102" s="150"/>
      <c r="C102" s="85">
        <v>0</v>
      </c>
      <c r="D102" s="85">
        <v>0</v>
      </c>
      <c r="E102" s="85"/>
      <c r="F102" s="85"/>
      <c r="G102" s="85"/>
      <c r="H102" s="85"/>
      <c r="I102" s="85"/>
      <c r="J102" s="152" t="str">
        <f t="shared" si="1"/>
        <v/>
      </c>
    </row>
    <row r="103" spans="1:10" x14ac:dyDescent="0.3">
      <c r="A103">
        <v>90</v>
      </c>
      <c r="B103" s="150"/>
      <c r="C103" s="85">
        <v>0</v>
      </c>
      <c r="D103" s="85">
        <v>0</v>
      </c>
      <c r="E103" s="85"/>
      <c r="F103" s="85"/>
      <c r="G103" s="85"/>
      <c r="H103" s="85"/>
      <c r="I103" s="85"/>
      <c r="J103" s="152" t="str">
        <f t="shared" si="1"/>
        <v/>
      </c>
    </row>
    <row r="104" spans="1:10" x14ac:dyDescent="0.3">
      <c r="A104">
        <v>91</v>
      </c>
      <c r="B104" s="150"/>
      <c r="C104" s="85">
        <v>0</v>
      </c>
      <c r="D104" s="85">
        <v>0</v>
      </c>
      <c r="E104" s="85"/>
      <c r="F104" s="85"/>
      <c r="G104" s="85"/>
      <c r="H104" s="85"/>
      <c r="I104" s="85"/>
      <c r="J104" s="152" t="str">
        <f t="shared" si="1"/>
        <v/>
      </c>
    </row>
    <row r="105" spans="1:10" x14ac:dyDescent="0.3">
      <c r="A105">
        <v>92</v>
      </c>
      <c r="B105" s="150"/>
      <c r="C105" s="85">
        <v>0</v>
      </c>
      <c r="D105" s="85">
        <v>0</v>
      </c>
      <c r="E105" s="85"/>
      <c r="F105" s="85"/>
      <c r="G105" s="85"/>
      <c r="H105" s="85"/>
      <c r="I105" s="85"/>
      <c r="J105" s="152" t="str">
        <f t="shared" si="1"/>
        <v/>
      </c>
    </row>
    <row r="106" spans="1:10" x14ac:dyDescent="0.3">
      <c r="A106">
        <v>93</v>
      </c>
      <c r="B106" s="150"/>
      <c r="C106" s="85">
        <v>0</v>
      </c>
      <c r="D106" s="85">
        <v>0</v>
      </c>
      <c r="E106" s="85"/>
      <c r="F106" s="85"/>
      <c r="G106" s="85"/>
      <c r="H106" s="85"/>
      <c r="I106" s="85"/>
      <c r="J106" s="152" t="str">
        <f t="shared" si="1"/>
        <v/>
      </c>
    </row>
    <row r="107" spans="1:10" x14ac:dyDescent="0.3">
      <c r="A107">
        <v>94</v>
      </c>
      <c r="B107" s="150"/>
      <c r="C107" s="85">
        <v>0</v>
      </c>
      <c r="D107" s="85">
        <v>0</v>
      </c>
      <c r="E107" s="85"/>
      <c r="F107" s="85"/>
      <c r="G107" s="85"/>
      <c r="H107" s="85"/>
      <c r="I107" s="85"/>
      <c r="J107" s="152" t="str">
        <f t="shared" si="1"/>
        <v/>
      </c>
    </row>
    <row r="108" spans="1:10" x14ac:dyDescent="0.3">
      <c r="A108">
        <v>95</v>
      </c>
      <c r="B108" s="150"/>
      <c r="C108" s="85">
        <v>0</v>
      </c>
      <c r="D108" s="85">
        <v>0</v>
      </c>
      <c r="E108" s="85"/>
      <c r="F108" s="85"/>
      <c r="G108" s="85"/>
      <c r="H108" s="85"/>
      <c r="I108" s="85"/>
      <c r="J108" s="152" t="str">
        <f t="shared" si="1"/>
        <v/>
      </c>
    </row>
    <row r="109" spans="1:10" x14ac:dyDescent="0.3">
      <c r="A109">
        <v>96</v>
      </c>
      <c r="B109" s="150"/>
      <c r="C109" s="85">
        <v>0</v>
      </c>
      <c r="D109" s="85">
        <v>0</v>
      </c>
      <c r="E109" s="85"/>
      <c r="F109" s="85"/>
      <c r="G109" s="85"/>
      <c r="H109" s="85"/>
      <c r="I109" s="85"/>
      <c r="J109" s="152" t="str">
        <f t="shared" si="1"/>
        <v/>
      </c>
    </row>
    <row r="110" spans="1:10" x14ac:dyDescent="0.3">
      <c r="A110">
        <v>97</v>
      </c>
      <c r="B110" s="150"/>
      <c r="C110" s="85">
        <v>0</v>
      </c>
      <c r="D110" s="85">
        <v>0</v>
      </c>
      <c r="E110" s="85"/>
      <c r="F110" s="85"/>
      <c r="G110" s="85"/>
      <c r="H110" s="85"/>
      <c r="I110" s="85"/>
      <c r="J110" s="152" t="str">
        <f t="shared" si="1"/>
        <v/>
      </c>
    </row>
    <row r="111" spans="1:10" x14ac:dyDescent="0.3">
      <c r="A111">
        <v>98</v>
      </c>
      <c r="B111" s="150"/>
      <c r="C111" s="85">
        <v>0</v>
      </c>
      <c r="D111" s="85">
        <v>0</v>
      </c>
      <c r="E111" s="85"/>
      <c r="F111" s="85"/>
      <c r="G111" s="85"/>
      <c r="H111" s="85"/>
      <c r="I111" s="85"/>
      <c r="J111" s="152" t="str">
        <f t="shared" si="1"/>
        <v/>
      </c>
    </row>
    <row r="112" spans="1:10" x14ac:dyDescent="0.3">
      <c r="A112">
        <v>99</v>
      </c>
      <c r="B112" s="150"/>
      <c r="C112" s="85">
        <v>0</v>
      </c>
      <c r="D112" s="85">
        <v>0</v>
      </c>
      <c r="E112" s="85"/>
      <c r="F112" s="85"/>
      <c r="G112" s="85"/>
      <c r="H112" s="85"/>
      <c r="I112" s="85"/>
      <c r="J112" s="152" t="str">
        <f t="shared" si="1"/>
        <v/>
      </c>
    </row>
    <row r="113" spans="1:10" x14ac:dyDescent="0.3">
      <c r="A113">
        <v>100</v>
      </c>
      <c r="B113" s="150"/>
      <c r="C113" s="85">
        <v>0</v>
      </c>
      <c r="D113" s="85">
        <v>0</v>
      </c>
      <c r="E113" s="85"/>
      <c r="F113" s="85"/>
      <c r="G113" s="85"/>
      <c r="H113" s="85"/>
      <c r="I113" s="85"/>
      <c r="J113" s="152" t="str">
        <f t="shared" si="1"/>
        <v/>
      </c>
    </row>
    <row r="114" spans="1:10" x14ac:dyDescent="0.3">
      <c r="A114">
        <v>101</v>
      </c>
      <c r="B114" s="150"/>
      <c r="C114" s="85">
        <v>0</v>
      </c>
      <c r="D114" s="85">
        <v>0</v>
      </c>
      <c r="E114" s="85"/>
      <c r="F114" s="85"/>
      <c r="G114" s="85"/>
      <c r="H114" s="85"/>
      <c r="I114" s="85"/>
      <c r="J114" s="152" t="str">
        <f t="shared" si="1"/>
        <v/>
      </c>
    </row>
    <row r="115" spans="1:10" x14ac:dyDescent="0.3">
      <c r="A115">
        <v>102</v>
      </c>
      <c r="B115" s="150"/>
      <c r="C115" s="85">
        <v>0</v>
      </c>
      <c r="D115" s="85">
        <v>0</v>
      </c>
      <c r="E115" s="85"/>
      <c r="F115" s="85"/>
      <c r="G115" s="85"/>
      <c r="H115" s="85"/>
      <c r="I115" s="85"/>
      <c r="J115" s="152" t="str">
        <f t="shared" si="1"/>
        <v/>
      </c>
    </row>
    <row r="116" spans="1:10" x14ac:dyDescent="0.3">
      <c r="A116">
        <v>103</v>
      </c>
      <c r="B116" s="150"/>
      <c r="C116" s="85">
        <v>0</v>
      </c>
      <c r="D116" s="85">
        <v>0</v>
      </c>
      <c r="E116" s="85"/>
      <c r="F116" s="85"/>
      <c r="G116" s="85"/>
      <c r="H116" s="85"/>
      <c r="I116" s="85"/>
      <c r="J116" s="152" t="str">
        <f t="shared" si="1"/>
        <v/>
      </c>
    </row>
    <row r="117" spans="1:10" x14ac:dyDescent="0.3">
      <c r="A117">
        <v>104</v>
      </c>
      <c r="B117" s="150"/>
      <c r="C117" s="85">
        <v>0</v>
      </c>
      <c r="D117" s="85">
        <v>0</v>
      </c>
      <c r="E117" s="85"/>
      <c r="F117" s="85"/>
      <c r="G117" s="85"/>
      <c r="H117" s="85"/>
      <c r="I117" s="85"/>
      <c r="J117" s="152" t="str">
        <f t="shared" si="1"/>
        <v/>
      </c>
    </row>
    <row r="118" spans="1:10" x14ac:dyDescent="0.3">
      <c r="A118">
        <v>105</v>
      </c>
      <c r="B118" s="150"/>
      <c r="C118" s="85">
        <v>0</v>
      </c>
      <c r="D118" s="85">
        <v>0</v>
      </c>
      <c r="E118" s="85"/>
      <c r="F118" s="85"/>
      <c r="G118" s="85"/>
      <c r="H118" s="85"/>
      <c r="I118" s="85"/>
      <c r="J118" s="152" t="str">
        <f t="shared" si="1"/>
        <v/>
      </c>
    </row>
    <row r="119" spans="1:10" x14ac:dyDescent="0.3">
      <c r="A119">
        <v>106</v>
      </c>
      <c r="B119" s="150"/>
      <c r="C119" s="85">
        <v>0</v>
      </c>
      <c r="D119" s="85">
        <v>0</v>
      </c>
      <c r="E119" s="85"/>
      <c r="F119" s="85"/>
      <c r="G119" s="85"/>
      <c r="H119" s="85"/>
      <c r="I119" s="85"/>
      <c r="J119" s="152" t="str">
        <f t="shared" si="1"/>
        <v/>
      </c>
    </row>
    <row r="120" spans="1:10" x14ac:dyDescent="0.3">
      <c r="A120">
        <v>107</v>
      </c>
      <c r="B120" s="150"/>
      <c r="C120" s="85">
        <v>0</v>
      </c>
      <c r="D120" s="85">
        <v>0</v>
      </c>
      <c r="E120" s="85"/>
      <c r="F120" s="85"/>
      <c r="G120" s="85"/>
      <c r="H120" s="85"/>
      <c r="I120" s="85"/>
      <c r="J120" s="152" t="str">
        <f t="shared" si="1"/>
        <v/>
      </c>
    </row>
    <row r="121" spans="1:10" x14ac:dyDescent="0.3">
      <c r="A121">
        <v>108</v>
      </c>
      <c r="B121" s="150"/>
      <c r="C121" s="85">
        <v>0</v>
      </c>
      <c r="D121" s="85">
        <v>0</v>
      </c>
      <c r="E121" s="85"/>
      <c r="F121" s="85"/>
      <c r="G121" s="85"/>
      <c r="H121" s="85"/>
      <c r="I121" s="85"/>
      <c r="J121" s="152" t="str">
        <f t="shared" si="1"/>
        <v/>
      </c>
    </row>
    <row r="122" spans="1:10" x14ac:dyDescent="0.3">
      <c r="A122">
        <v>109</v>
      </c>
      <c r="B122" s="150"/>
      <c r="C122" s="85">
        <v>0</v>
      </c>
      <c r="D122" s="85">
        <v>0</v>
      </c>
      <c r="E122" s="85"/>
      <c r="F122" s="85"/>
      <c r="G122" s="85"/>
      <c r="H122" s="85"/>
      <c r="I122" s="85"/>
      <c r="J122" s="152" t="str">
        <f t="shared" si="1"/>
        <v/>
      </c>
    </row>
    <row r="123" spans="1:10" x14ac:dyDescent="0.3">
      <c r="A123">
        <v>110</v>
      </c>
      <c r="B123" s="150"/>
      <c r="C123" s="85">
        <v>0</v>
      </c>
      <c r="D123" s="85">
        <v>0</v>
      </c>
      <c r="E123" s="85"/>
      <c r="F123" s="85"/>
      <c r="G123" s="85"/>
      <c r="H123" s="85"/>
      <c r="I123" s="85"/>
      <c r="J123" s="152" t="str">
        <f t="shared" si="1"/>
        <v/>
      </c>
    </row>
    <row r="124" spans="1:10" x14ac:dyDescent="0.3">
      <c r="A124">
        <v>111</v>
      </c>
      <c r="B124" s="150"/>
      <c r="C124" s="85">
        <v>0</v>
      </c>
      <c r="D124" s="85">
        <v>0</v>
      </c>
      <c r="E124" s="85"/>
      <c r="F124" s="85"/>
      <c r="G124" s="85"/>
      <c r="H124" s="85"/>
      <c r="I124" s="85"/>
      <c r="J124" s="152" t="str">
        <f t="shared" si="1"/>
        <v/>
      </c>
    </row>
    <row r="125" spans="1:10" x14ac:dyDescent="0.3">
      <c r="A125">
        <v>112</v>
      </c>
      <c r="B125" s="150"/>
      <c r="C125" s="85">
        <v>0</v>
      </c>
      <c r="D125" s="85">
        <v>0</v>
      </c>
      <c r="E125" s="85"/>
      <c r="F125" s="85"/>
      <c r="G125" s="85"/>
      <c r="H125" s="85"/>
      <c r="I125" s="85"/>
      <c r="J125" s="152" t="str">
        <f t="shared" si="1"/>
        <v/>
      </c>
    </row>
    <row r="126" spans="1:10" x14ac:dyDescent="0.3">
      <c r="A126">
        <v>113</v>
      </c>
      <c r="B126" s="150"/>
      <c r="C126" s="85">
        <v>0</v>
      </c>
      <c r="D126" s="85">
        <v>0</v>
      </c>
      <c r="E126" s="85"/>
      <c r="F126" s="85"/>
      <c r="G126" s="85"/>
      <c r="H126" s="85"/>
      <c r="I126" s="85"/>
      <c r="J126" s="152" t="str">
        <f t="shared" si="1"/>
        <v/>
      </c>
    </row>
    <row r="127" spans="1:10" x14ac:dyDescent="0.3">
      <c r="A127">
        <v>114</v>
      </c>
      <c r="B127" s="150"/>
      <c r="C127" s="85">
        <v>0</v>
      </c>
      <c r="D127" s="85">
        <v>0</v>
      </c>
      <c r="E127" s="85"/>
      <c r="F127" s="85"/>
      <c r="G127" s="85"/>
      <c r="H127" s="85"/>
      <c r="I127" s="85"/>
      <c r="J127" s="152" t="str">
        <f t="shared" si="1"/>
        <v/>
      </c>
    </row>
    <row r="128" spans="1:10" x14ac:dyDescent="0.3">
      <c r="A128">
        <v>115</v>
      </c>
      <c r="B128" s="150"/>
      <c r="C128" s="85">
        <v>0</v>
      </c>
      <c r="D128" s="85">
        <v>0</v>
      </c>
      <c r="E128" s="85"/>
      <c r="F128" s="85"/>
      <c r="G128" s="85"/>
      <c r="H128" s="85"/>
      <c r="I128" s="85"/>
      <c r="J128" s="152" t="str">
        <f t="shared" si="1"/>
        <v/>
      </c>
    </row>
    <row r="129" spans="1:10" x14ac:dyDescent="0.3">
      <c r="A129">
        <v>116</v>
      </c>
      <c r="B129" s="150"/>
      <c r="C129" s="85">
        <v>0</v>
      </c>
      <c r="D129" s="85">
        <v>0</v>
      </c>
      <c r="E129" s="85"/>
      <c r="F129" s="85"/>
      <c r="G129" s="85"/>
      <c r="H129" s="85"/>
      <c r="I129" s="85"/>
      <c r="J129" s="152" t="str">
        <f t="shared" si="1"/>
        <v/>
      </c>
    </row>
    <row r="130" spans="1:10" x14ac:dyDescent="0.3">
      <c r="A130">
        <v>117</v>
      </c>
      <c r="B130" s="150"/>
      <c r="C130" s="85">
        <v>0</v>
      </c>
      <c r="D130" s="85">
        <v>0</v>
      </c>
      <c r="E130" s="85"/>
      <c r="F130" s="85"/>
      <c r="G130" s="85"/>
      <c r="H130" s="85"/>
      <c r="I130" s="85"/>
      <c r="J130" s="152" t="str">
        <f t="shared" si="1"/>
        <v/>
      </c>
    </row>
    <row r="131" spans="1:10" x14ac:dyDescent="0.3">
      <c r="A131">
        <v>118</v>
      </c>
      <c r="B131" s="150"/>
      <c r="C131" s="85">
        <v>0</v>
      </c>
      <c r="D131" s="85">
        <v>0</v>
      </c>
      <c r="E131" s="85"/>
      <c r="F131" s="85"/>
      <c r="G131" s="85"/>
      <c r="H131" s="85"/>
      <c r="I131" s="85"/>
      <c r="J131" s="152" t="str">
        <f t="shared" si="1"/>
        <v/>
      </c>
    </row>
    <row r="132" spans="1:10" x14ac:dyDescent="0.3">
      <c r="A132">
        <v>119</v>
      </c>
      <c r="B132" s="150"/>
      <c r="C132" s="85">
        <v>0</v>
      </c>
      <c r="D132" s="85">
        <v>0</v>
      </c>
      <c r="E132" s="85"/>
      <c r="F132" s="85"/>
      <c r="G132" s="85"/>
      <c r="H132" s="85"/>
      <c r="I132" s="85"/>
      <c r="J132" s="152" t="str">
        <f t="shared" si="1"/>
        <v/>
      </c>
    </row>
    <row r="133" spans="1:10" x14ac:dyDescent="0.3">
      <c r="A133">
        <v>120</v>
      </c>
      <c r="B133" s="150"/>
      <c r="C133" s="85">
        <v>0</v>
      </c>
      <c r="D133" s="85">
        <v>0</v>
      </c>
      <c r="E133" s="85"/>
      <c r="F133" s="85"/>
      <c r="G133" s="85"/>
      <c r="H133" s="85"/>
      <c r="I133" s="85"/>
      <c r="J133" s="152" t="str">
        <f t="shared" si="1"/>
        <v/>
      </c>
    </row>
    <row r="134" spans="1:10" x14ac:dyDescent="0.3">
      <c r="A134">
        <v>121</v>
      </c>
      <c r="B134" s="150"/>
      <c r="C134" s="85">
        <v>0</v>
      </c>
      <c r="D134" s="85">
        <v>0</v>
      </c>
      <c r="E134" s="85"/>
      <c r="F134" s="85"/>
      <c r="G134" s="85"/>
      <c r="H134" s="85"/>
      <c r="I134" s="85"/>
      <c r="J134" s="152" t="str">
        <f t="shared" si="1"/>
        <v/>
      </c>
    </row>
    <row r="135" spans="1:10" x14ac:dyDescent="0.3">
      <c r="A135">
        <v>122</v>
      </c>
      <c r="B135" s="150"/>
      <c r="C135" s="85">
        <v>0</v>
      </c>
      <c r="D135" s="85">
        <v>0</v>
      </c>
      <c r="E135" s="85"/>
      <c r="F135" s="85"/>
      <c r="G135" s="85"/>
      <c r="H135" s="85"/>
      <c r="I135" s="85"/>
      <c r="J135" s="152" t="str">
        <f t="shared" si="1"/>
        <v/>
      </c>
    </row>
    <row r="136" spans="1:10" x14ac:dyDescent="0.3">
      <c r="A136">
        <v>123</v>
      </c>
      <c r="B136" s="150"/>
      <c r="C136" s="85">
        <v>0</v>
      </c>
      <c r="D136" s="85">
        <v>0</v>
      </c>
      <c r="E136" s="85"/>
      <c r="F136" s="85"/>
      <c r="G136" s="85"/>
      <c r="H136" s="85"/>
      <c r="I136" s="85"/>
      <c r="J136" s="152" t="str">
        <f t="shared" si="1"/>
        <v/>
      </c>
    </row>
    <row r="137" spans="1:10" x14ac:dyDescent="0.3">
      <c r="A137">
        <v>124</v>
      </c>
      <c r="B137" s="150"/>
      <c r="C137" s="85">
        <v>0</v>
      </c>
      <c r="D137" s="85">
        <v>0</v>
      </c>
      <c r="E137" s="85"/>
      <c r="F137" s="85"/>
      <c r="G137" s="85"/>
      <c r="H137" s="85"/>
      <c r="I137" s="85"/>
      <c r="J137" s="152" t="str">
        <f t="shared" si="1"/>
        <v/>
      </c>
    </row>
    <row r="138" spans="1:10" x14ac:dyDescent="0.3">
      <c r="A138">
        <v>125</v>
      </c>
      <c r="B138" s="150"/>
      <c r="C138" s="85">
        <v>0</v>
      </c>
      <c r="D138" s="85">
        <v>0</v>
      </c>
      <c r="E138" s="85"/>
      <c r="F138" s="85"/>
      <c r="G138" s="85"/>
      <c r="H138" s="85"/>
      <c r="I138" s="85"/>
      <c r="J138" s="152" t="str">
        <f t="shared" si="1"/>
        <v/>
      </c>
    </row>
    <row r="139" spans="1:10" x14ac:dyDescent="0.3">
      <c r="A139">
        <v>126</v>
      </c>
      <c r="B139" s="150"/>
      <c r="C139" s="85">
        <v>0</v>
      </c>
      <c r="D139" s="85">
        <v>0</v>
      </c>
      <c r="E139" s="85"/>
      <c r="F139" s="85"/>
      <c r="G139" s="85"/>
      <c r="H139" s="85"/>
      <c r="I139" s="85"/>
      <c r="J139" s="152" t="str">
        <f t="shared" si="1"/>
        <v/>
      </c>
    </row>
    <row r="140" spans="1:10" x14ac:dyDescent="0.3">
      <c r="A140">
        <v>127</v>
      </c>
      <c r="B140" s="150"/>
      <c r="C140" s="85">
        <v>0</v>
      </c>
      <c r="D140" s="85">
        <v>0</v>
      </c>
      <c r="E140" s="85"/>
      <c r="F140" s="85"/>
      <c r="G140" s="85"/>
      <c r="H140" s="85"/>
      <c r="I140" s="85"/>
      <c r="J140" s="152" t="str">
        <f t="shared" si="1"/>
        <v/>
      </c>
    </row>
    <row r="141" spans="1:10" x14ac:dyDescent="0.3">
      <c r="A141">
        <v>128</v>
      </c>
      <c r="B141" s="150"/>
      <c r="C141" s="85">
        <v>0</v>
      </c>
      <c r="D141" s="85">
        <v>0</v>
      </c>
      <c r="E141" s="85"/>
      <c r="F141" s="85"/>
      <c r="G141" s="85"/>
      <c r="H141" s="85"/>
      <c r="I141" s="85"/>
      <c r="J141" s="152" t="str">
        <f t="shared" si="1"/>
        <v/>
      </c>
    </row>
    <row r="142" spans="1:10" x14ac:dyDescent="0.3">
      <c r="A142">
        <v>129</v>
      </c>
      <c r="B142" s="150"/>
      <c r="C142" s="85">
        <v>0</v>
      </c>
      <c r="D142" s="85">
        <v>0</v>
      </c>
      <c r="E142" s="85"/>
      <c r="F142" s="85"/>
      <c r="G142" s="85"/>
      <c r="H142" s="85"/>
      <c r="I142" s="85"/>
      <c r="J142" s="152" t="str">
        <f t="shared" si="1"/>
        <v/>
      </c>
    </row>
    <row r="143" spans="1:10" x14ac:dyDescent="0.3">
      <c r="A143">
        <v>130</v>
      </c>
      <c r="B143" s="150"/>
      <c r="C143" s="85">
        <v>0</v>
      </c>
      <c r="D143" s="85">
        <v>0</v>
      </c>
      <c r="E143" s="85"/>
      <c r="F143" s="85"/>
      <c r="G143" s="85"/>
      <c r="H143" s="85"/>
      <c r="I143" s="85"/>
      <c r="J143" s="152" t="str">
        <f t="shared" ref="J143:J206" si="2">IF(B143&lt;&gt;"",SUM(C143:I143),"")</f>
        <v/>
      </c>
    </row>
    <row r="144" spans="1:10" x14ac:dyDescent="0.3">
      <c r="A144">
        <v>131</v>
      </c>
      <c r="B144" s="150"/>
      <c r="C144" s="85"/>
      <c r="D144" s="85"/>
      <c r="E144" s="85"/>
      <c r="F144" s="85"/>
      <c r="G144" s="85"/>
      <c r="H144" s="85"/>
      <c r="I144" s="85"/>
      <c r="J144" s="152" t="str">
        <f t="shared" si="2"/>
        <v/>
      </c>
    </row>
    <row r="145" spans="1:10" x14ac:dyDescent="0.3">
      <c r="A145">
        <v>132</v>
      </c>
      <c r="B145" s="150"/>
      <c r="C145" s="85"/>
      <c r="D145" s="85"/>
      <c r="E145" s="85"/>
      <c r="F145" s="85"/>
      <c r="G145" s="85"/>
      <c r="H145" s="85"/>
      <c r="I145" s="85"/>
      <c r="J145" s="152" t="str">
        <f t="shared" si="2"/>
        <v/>
      </c>
    </row>
    <row r="146" spans="1:10" x14ac:dyDescent="0.3">
      <c r="A146">
        <v>133</v>
      </c>
      <c r="B146" s="150"/>
      <c r="C146" s="85"/>
      <c r="D146" s="85"/>
      <c r="E146" s="85"/>
      <c r="F146" s="85"/>
      <c r="G146" s="85"/>
      <c r="H146" s="85"/>
      <c r="I146" s="85"/>
      <c r="J146" s="152" t="str">
        <f t="shared" si="2"/>
        <v/>
      </c>
    </row>
    <row r="147" spans="1:10" x14ac:dyDescent="0.3">
      <c r="A147">
        <v>134</v>
      </c>
      <c r="B147" s="150"/>
      <c r="C147" s="85"/>
      <c r="D147" s="85"/>
      <c r="E147" s="85"/>
      <c r="F147" s="85"/>
      <c r="G147" s="85"/>
      <c r="H147" s="85"/>
      <c r="I147" s="85"/>
      <c r="J147" s="152" t="str">
        <f t="shared" si="2"/>
        <v/>
      </c>
    </row>
    <row r="148" spans="1:10" x14ac:dyDescent="0.3">
      <c r="A148">
        <v>135</v>
      </c>
      <c r="B148" s="150"/>
      <c r="C148" s="85"/>
      <c r="D148" s="85"/>
      <c r="E148" s="85"/>
      <c r="F148" s="85"/>
      <c r="G148" s="85"/>
      <c r="H148" s="85"/>
      <c r="I148" s="85"/>
      <c r="J148" s="152" t="str">
        <f t="shared" si="2"/>
        <v/>
      </c>
    </row>
    <row r="149" spans="1:10" x14ac:dyDescent="0.3">
      <c r="A149">
        <v>136</v>
      </c>
      <c r="B149" s="150"/>
      <c r="C149" s="85"/>
      <c r="D149" s="85"/>
      <c r="E149" s="85"/>
      <c r="F149" s="85"/>
      <c r="G149" s="85"/>
      <c r="H149" s="85"/>
      <c r="I149" s="85"/>
      <c r="J149" s="152" t="str">
        <f t="shared" si="2"/>
        <v/>
      </c>
    </row>
    <row r="150" spans="1:10" x14ac:dyDescent="0.3">
      <c r="A150">
        <v>137</v>
      </c>
      <c r="B150" s="150"/>
      <c r="C150" s="85"/>
      <c r="D150" s="85"/>
      <c r="E150" s="85"/>
      <c r="F150" s="85"/>
      <c r="G150" s="85"/>
      <c r="H150" s="85"/>
      <c r="I150" s="85"/>
      <c r="J150" s="152" t="str">
        <f t="shared" si="2"/>
        <v/>
      </c>
    </row>
    <row r="151" spans="1:10" x14ac:dyDescent="0.3">
      <c r="A151">
        <v>138</v>
      </c>
      <c r="B151" s="150"/>
      <c r="C151" s="85"/>
      <c r="D151" s="85"/>
      <c r="E151" s="85"/>
      <c r="F151" s="85"/>
      <c r="G151" s="85"/>
      <c r="H151" s="85"/>
      <c r="I151" s="85"/>
      <c r="J151" s="152" t="str">
        <f t="shared" si="2"/>
        <v/>
      </c>
    </row>
    <row r="152" spans="1:10" x14ac:dyDescent="0.3">
      <c r="A152">
        <v>139</v>
      </c>
      <c r="B152" s="150"/>
      <c r="C152" s="85"/>
      <c r="D152" s="85"/>
      <c r="E152" s="85"/>
      <c r="F152" s="85"/>
      <c r="G152" s="85"/>
      <c r="H152" s="85"/>
      <c r="I152" s="85"/>
      <c r="J152" s="152" t="str">
        <f t="shared" si="2"/>
        <v/>
      </c>
    </row>
    <row r="153" spans="1:10" x14ac:dyDescent="0.3">
      <c r="A153">
        <v>140</v>
      </c>
      <c r="B153" s="150"/>
      <c r="C153" s="85"/>
      <c r="D153" s="85"/>
      <c r="E153" s="85"/>
      <c r="F153" s="85"/>
      <c r="G153" s="85"/>
      <c r="H153" s="85"/>
      <c r="I153" s="85"/>
      <c r="J153" s="152" t="str">
        <f t="shared" si="2"/>
        <v/>
      </c>
    </row>
    <row r="154" spans="1:10" x14ac:dyDescent="0.3">
      <c r="A154">
        <v>141</v>
      </c>
      <c r="B154" s="150"/>
      <c r="C154" s="85"/>
      <c r="D154" s="85"/>
      <c r="E154" s="85"/>
      <c r="F154" s="85"/>
      <c r="G154" s="85"/>
      <c r="H154" s="85"/>
      <c r="I154" s="85"/>
      <c r="J154" s="152" t="str">
        <f t="shared" si="2"/>
        <v/>
      </c>
    </row>
    <row r="155" spans="1:10" x14ac:dyDescent="0.3">
      <c r="A155">
        <v>142</v>
      </c>
      <c r="B155" s="150"/>
      <c r="C155" s="85"/>
      <c r="D155" s="85"/>
      <c r="E155" s="85"/>
      <c r="F155" s="85"/>
      <c r="G155" s="85"/>
      <c r="H155" s="85"/>
      <c r="I155" s="85"/>
      <c r="J155" s="152" t="str">
        <f t="shared" si="2"/>
        <v/>
      </c>
    </row>
    <row r="156" spans="1:10" x14ac:dyDescent="0.3">
      <c r="A156">
        <v>143</v>
      </c>
      <c r="B156" s="150"/>
      <c r="C156" s="85"/>
      <c r="D156" s="85"/>
      <c r="E156" s="85"/>
      <c r="F156" s="85"/>
      <c r="G156" s="85"/>
      <c r="H156" s="85"/>
      <c r="I156" s="85"/>
      <c r="J156" s="152" t="str">
        <f t="shared" si="2"/>
        <v/>
      </c>
    </row>
    <row r="157" spans="1:10" x14ac:dyDescent="0.3">
      <c r="A157">
        <v>144</v>
      </c>
      <c r="B157" s="150"/>
      <c r="C157" s="85"/>
      <c r="D157" s="85"/>
      <c r="E157" s="85"/>
      <c r="F157" s="85"/>
      <c r="G157" s="85"/>
      <c r="H157" s="85"/>
      <c r="I157" s="85"/>
      <c r="J157" s="152" t="str">
        <f t="shared" si="2"/>
        <v/>
      </c>
    </row>
    <row r="158" spans="1:10" x14ac:dyDescent="0.3">
      <c r="A158">
        <v>145</v>
      </c>
      <c r="B158" s="150"/>
      <c r="C158" s="85"/>
      <c r="D158" s="85"/>
      <c r="E158" s="85"/>
      <c r="F158" s="85"/>
      <c r="G158" s="85"/>
      <c r="H158" s="85"/>
      <c r="I158" s="85"/>
      <c r="J158" s="152" t="str">
        <f t="shared" si="2"/>
        <v/>
      </c>
    </row>
    <row r="159" spans="1:10" x14ac:dyDescent="0.3">
      <c r="A159">
        <v>146</v>
      </c>
      <c r="B159" s="150"/>
      <c r="C159" s="85"/>
      <c r="D159" s="85"/>
      <c r="E159" s="85"/>
      <c r="F159" s="85"/>
      <c r="G159" s="85"/>
      <c r="H159" s="85"/>
      <c r="I159" s="85"/>
      <c r="J159" s="152" t="str">
        <f t="shared" si="2"/>
        <v/>
      </c>
    </row>
    <row r="160" spans="1:10" x14ac:dyDescent="0.3">
      <c r="A160">
        <v>147</v>
      </c>
      <c r="B160" s="150"/>
      <c r="C160" s="85"/>
      <c r="D160" s="85"/>
      <c r="E160" s="85"/>
      <c r="F160" s="85"/>
      <c r="G160" s="85"/>
      <c r="H160" s="85"/>
      <c r="I160" s="85"/>
      <c r="J160" s="152" t="str">
        <f t="shared" si="2"/>
        <v/>
      </c>
    </row>
    <row r="161" spans="1:10" x14ac:dyDescent="0.3">
      <c r="A161">
        <v>148</v>
      </c>
      <c r="B161" s="150"/>
      <c r="C161" s="85"/>
      <c r="D161" s="85"/>
      <c r="E161" s="85"/>
      <c r="F161" s="85"/>
      <c r="G161" s="85"/>
      <c r="H161" s="85"/>
      <c r="I161" s="85"/>
      <c r="J161" s="152" t="str">
        <f t="shared" si="2"/>
        <v/>
      </c>
    </row>
    <row r="162" spans="1:10" x14ac:dyDescent="0.3">
      <c r="A162">
        <v>149</v>
      </c>
      <c r="B162" s="150"/>
      <c r="C162" s="85"/>
      <c r="D162" s="85"/>
      <c r="E162" s="85"/>
      <c r="F162" s="85"/>
      <c r="G162" s="85"/>
      <c r="H162" s="85"/>
      <c r="I162" s="85"/>
      <c r="J162" s="152" t="str">
        <f t="shared" si="2"/>
        <v/>
      </c>
    </row>
    <row r="163" spans="1:10" x14ac:dyDescent="0.3">
      <c r="A163">
        <v>150</v>
      </c>
      <c r="B163" s="150"/>
      <c r="C163" s="85"/>
      <c r="D163" s="85"/>
      <c r="E163" s="85"/>
      <c r="F163" s="85"/>
      <c r="G163" s="85"/>
      <c r="H163" s="85"/>
      <c r="I163" s="85"/>
      <c r="J163" s="152" t="str">
        <f t="shared" si="2"/>
        <v/>
      </c>
    </row>
    <row r="164" spans="1:10" x14ac:dyDescent="0.3">
      <c r="A164">
        <v>151</v>
      </c>
      <c r="B164" s="150"/>
      <c r="C164" s="85"/>
      <c r="D164" s="85"/>
      <c r="E164" s="85"/>
      <c r="F164" s="85"/>
      <c r="G164" s="85"/>
      <c r="H164" s="85"/>
      <c r="I164" s="85"/>
      <c r="J164" s="152" t="str">
        <f t="shared" si="2"/>
        <v/>
      </c>
    </row>
    <row r="165" spans="1:10" x14ac:dyDescent="0.3">
      <c r="A165">
        <v>152</v>
      </c>
      <c r="B165" s="150"/>
      <c r="C165" s="85"/>
      <c r="D165" s="85"/>
      <c r="E165" s="85"/>
      <c r="F165" s="85"/>
      <c r="G165" s="85"/>
      <c r="H165" s="85"/>
      <c r="I165" s="85"/>
      <c r="J165" s="152" t="str">
        <f t="shared" si="2"/>
        <v/>
      </c>
    </row>
    <row r="166" spans="1:10" x14ac:dyDescent="0.3">
      <c r="A166">
        <v>153</v>
      </c>
      <c r="B166" s="150"/>
      <c r="C166" s="85"/>
      <c r="D166" s="85"/>
      <c r="E166" s="85"/>
      <c r="F166" s="85"/>
      <c r="G166" s="85"/>
      <c r="H166" s="85"/>
      <c r="I166" s="85"/>
      <c r="J166" s="152" t="str">
        <f t="shared" si="2"/>
        <v/>
      </c>
    </row>
    <row r="167" spans="1:10" x14ac:dyDescent="0.3">
      <c r="A167">
        <v>154</v>
      </c>
      <c r="B167" s="150"/>
      <c r="C167" s="85"/>
      <c r="D167" s="85"/>
      <c r="E167" s="85"/>
      <c r="F167" s="85"/>
      <c r="G167" s="85"/>
      <c r="H167" s="85"/>
      <c r="I167" s="85"/>
      <c r="J167" s="152" t="str">
        <f t="shared" si="2"/>
        <v/>
      </c>
    </row>
    <row r="168" spans="1:10" x14ac:dyDescent="0.3">
      <c r="A168">
        <v>155</v>
      </c>
      <c r="B168" s="150"/>
      <c r="C168" s="85"/>
      <c r="D168" s="85"/>
      <c r="E168" s="85"/>
      <c r="F168" s="85"/>
      <c r="G168" s="85"/>
      <c r="H168" s="85"/>
      <c r="I168" s="85"/>
      <c r="J168" s="152" t="str">
        <f t="shared" si="2"/>
        <v/>
      </c>
    </row>
    <row r="169" spans="1:10" x14ac:dyDescent="0.3">
      <c r="A169">
        <v>156</v>
      </c>
      <c r="B169" s="150"/>
      <c r="C169" s="85"/>
      <c r="D169" s="85"/>
      <c r="E169" s="85"/>
      <c r="F169" s="85"/>
      <c r="G169" s="85"/>
      <c r="H169" s="85"/>
      <c r="I169" s="85"/>
      <c r="J169" s="152" t="str">
        <f t="shared" si="2"/>
        <v/>
      </c>
    </row>
    <row r="170" spans="1:10" x14ac:dyDescent="0.3">
      <c r="A170">
        <v>157</v>
      </c>
      <c r="B170" s="150"/>
      <c r="C170" s="85"/>
      <c r="D170" s="85"/>
      <c r="E170" s="85"/>
      <c r="F170" s="85"/>
      <c r="G170" s="85"/>
      <c r="H170" s="85"/>
      <c r="I170" s="85"/>
      <c r="J170" s="152" t="str">
        <f t="shared" si="2"/>
        <v/>
      </c>
    </row>
    <row r="171" spans="1:10" x14ac:dyDescent="0.3">
      <c r="A171">
        <v>158</v>
      </c>
      <c r="B171" s="150"/>
      <c r="C171" s="85"/>
      <c r="D171" s="85"/>
      <c r="E171" s="85"/>
      <c r="F171" s="85"/>
      <c r="G171" s="85"/>
      <c r="H171" s="85"/>
      <c r="I171" s="85"/>
      <c r="J171" s="152" t="str">
        <f t="shared" si="2"/>
        <v/>
      </c>
    </row>
    <row r="172" spans="1:10" x14ac:dyDescent="0.3">
      <c r="A172">
        <v>159</v>
      </c>
      <c r="B172" s="150"/>
      <c r="C172" s="85"/>
      <c r="D172" s="85"/>
      <c r="E172" s="85"/>
      <c r="F172" s="85"/>
      <c r="G172" s="85"/>
      <c r="H172" s="85"/>
      <c r="I172" s="85"/>
      <c r="J172" s="152" t="str">
        <f t="shared" si="2"/>
        <v/>
      </c>
    </row>
    <row r="173" spans="1:10" x14ac:dyDescent="0.3">
      <c r="A173">
        <v>160</v>
      </c>
      <c r="B173" s="150"/>
      <c r="C173" s="85"/>
      <c r="D173" s="85"/>
      <c r="E173" s="85"/>
      <c r="F173" s="85"/>
      <c r="G173" s="85"/>
      <c r="H173" s="85"/>
      <c r="I173" s="85"/>
      <c r="J173" s="152" t="str">
        <f t="shared" si="2"/>
        <v/>
      </c>
    </row>
    <row r="174" spans="1:10" x14ac:dyDescent="0.3">
      <c r="A174">
        <v>161</v>
      </c>
      <c r="B174" s="150"/>
      <c r="C174" s="85"/>
      <c r="D174" s="85"/>
      <c r="E174" s="85"/>
      <c r="F174" s="85"/>
      <c r="G174" s="85"/>
      <c r="H174" s="85"/>
      <c r="I174" s="85"/>
      <c r="J174" s="152" t="str">
        <f t="shared" si="2"/>
        <v/>
      </c>
    </row>
    <row r="175" spans="1:10" x14ac:dyDescent="0.3">
      <c r="A175">
        <v>162</v>
      </c>
      <c r="B175" s="150"/>
      <c r="C175" s="85"/>
      <c r="D175" s="85"/>
      <c r="E175" s="85"/>
      <c r="F175" s="85"/>
      <c r="G175" s="85"/>
      <c r="H175" s="85"/>
      <c r="I175" s="85"/>
      <c r="J175" s="152" t="str">
        <f t="shared" si="2"/>
        <v/>
      </c>
    </row>
    <row r="176" spans="1:10" x14ac:dyDescent="0.3">
      <c r="A176">
        <v>163</v>
      </c>
      <c r="B176" s="150"/>
      <c r="C176" s="85"/>
      <c r="D176" s="85"/>
      <c r="E176" s="85"/>
      <c r="F176" s="85"/>
      <c r="G176" s="85"/>
      <c r="H176" s="85"/>
      <c r="I176" s="85"/>
      <c r="J176" s="152" t="str">
        <f t="shared" si="2"/>
        <v/>
      </c>
    </row>
    <row r="177" spans="1:10" x14ac:dyDescent="0.3">
      <c r="A177">
        <v>164</v>
      </c>
      <c r="B177" s="150"/>
      <c r="C177" s="85"/>
      <c r="D177" s="85"/>
      <c r="E177" s="85"/>
      <c r="F177" s="85"/>
      <c r="G177" s="85"/>
      <c r="H177" s="85"/>
      <c r="I177" s="85"/>
      <c r="J177" s="152" t="str">
        <f t="shared" si="2"/>
        <v/>
      </c>
    </row>
    <row r="178" spans="1:10" x14ac:dyDescent="0.3">
      <c r="A178">
        <v>165</v>
      </c>
      <c r="B178" s="150"/>
      <c r="C178" s="85"/>
      <c r="D178" s="85"/>
      <c r="E178" s="85"/>
      <c r="F178" s="85"/>
      <c r="G178" s="85"/>
      <c r="H178" s="85"/>
      <c r="I178" s="85"/>
      <c r="J178" s="152" t="str">
        <f t="shared" si="2"/>
        <v/>
      </c>
    </row>
    <row r="179" spans="1:10" x14ac:dyDescent="0.3">
      <c r="A179">
        <v>166</v>
      </c>
      <c r="B179" s="150"/>
      <c r="C179" s="85"/>
      <c r="D179" s="85"/>
      <c r="E179" s="85"/>
      <c r="F179" s="85"/>
      <c r="G179" s="85"/>
      <c r="H179" s="85"/>
      <c r="I179" s="85"/>
      <c r="J179" s="152" t="str">
        <f t="shared" si="2"/>
        <v/>
      </c>
    </row>
    <row r="180" spans="1:10" x14ac:dyDescent="0.3">
      <c r="A180">
        <v>167</v>
      </c>
      <c r="B180" s="150"/>
      <c r="C180" s="85"/>
      <c r="D180" s="85"/>
      <c r="E180" s="85"/>
      <c r="F180" s="85"/>
      <c r="G180" s="85"/>
      <c r="H180" s="85"/>
      <c r="I180" s="85"/>
      <c r="J180" s="152" t="str">
        <f t="shared" si="2"/>
        <v/>
      </c>
    </row>
    <row r="181" spans="1:10" x14ac:dyDescent="0.3">
      <c r="A181">
        <v>168</v>
      </c>
      <c r="B181" s="150"/>
      <c r="C181" s="85"/>
      <c r="D181" s="85"/>
      <c r="E181" s="85"/>
      <c r="F181" s="85"/>
      <c r="G181" s="85"/>
      <c r="H181" s="85"/>
      <c r="I181" s="85"/>
      <c r="J181" s="152" t="str">
        <f t="shared" si="2"/>
        <v/>
      </c>
    </row>
    <row r="182" spans="1:10" x14ac:dyDescent="0.3">
      <c r="A182">
        <v>169</v>
      </c>
      <c r="B182" s="150"/>
      <c r="C182" s="85"/>
      <c r="D182" s="85"/>
      <c r="E182" s="85"/>
      <c r="F182" s="85"/>
      <c r="G182" s="85"/>
      <c r="H182" s="85"/>
      <c r="I182" s="85"/>
      <c r="J182" s="152" t="str">
        <f t="shared" si="2"/>
        <v/>
      </c>
    </row>
    <row r="183" spans="1:10" x14ac:dyDescent="0.3">
      <c r="A183">
        <v>170</v>
      </c>
      <c r="B183" s="150"/>
      <c r="C183" s="85"/>
      <c r="D183" s="85"/>
      <c r="E183" s="85"/>
      <c r="F183" s="85"/>
      <c r="G183" s="85"/>
      <c r="H183" s="85"/>
      <c r="I183" s="85"/>
      <c r="J183" s="152" t="str">
        <f t="shared" si="2"/>
        <v/>
      </c>
    </row>
    <row r="184" spans="1:10" x14ac:dyDescent="0.3">
      <c r="A184">
        <v>171</v>
      </c>
      <c r="B184" s="150"/>
      <c r="C184" s="85"/>
      <c r="D184" s="85"/>
      <c r="E184" s="85"/>
      <c r="F184" s="85"/>
      <c r="G184" s="85"/>
      <c r="H184" s="85"/>
      <c r="I184" s="85"/>
      <c r="J184" s="152" t="str">
        <f t="shared" si="2"/>
        <v/>
      </c>
    </row>
    <row r="185" spans="1:10" x14ac:dyDescent="0.3">
      <c r="A185">
        <v>172</v>
      </c>
      <c r="B185" s="150"/>
      <c r="C185" s="85"/>
      <c r="D185" s="85"/>
      <c r="E185" s="85"/>
      <c r="F185" s="85"/>
      <c r="G185" s="85"/>
      <c r="H185" s="85"/>
      <c r="I185" s="85"/>
      <c r="J185" s="152" t="str">
        <f t="shared" si="2"/>
        <v/>
      </c>
    </row>
    <row r="186" spans="1:10" x14ac:dyDescent="0.3">
      <c r="A186">
        <v>173</v>
      </c>
      <c r="B186" s="150"/>
      <c r="C186" s="85"/>
      <c r="D186" s="85"/>
      <c r="E186" s="85"/>
      <c r="F186" s="85"/>
      <c r="G186" s="85"/>
      <c r="H186" s="85"/>
      <c r="I186" s="85"/>
      <c r="J186" s="152" t="str">
        <f t="shared" si="2"/>
        <v/>
      </c>
    </row>
    <row r="187" spans="1:10" x14ac:dyDescent="0.3">
      <c r="A187">
        <v>174</v>
      </c>
      <c r="B187" s="150"/>
      <c r="C187" s="85"/>
      <c r="D187" s="85"/>
      <c r="E187" s="85"/>
      <c r="F187" s="85"/>
      <c r="G187" s="85"/>
      <c r="H187" s="85"/>
      <c r="I187" s="85"/>
      <c r="J187" s="152" t="str">
        <f t="shared" si="2"/>
        <v/>
      </c>
    </row>
    <row r="188" spans="1:10" x14ac:dyDescent="0.3">
      <c r="A188">
        <v>175</v>
      </c>
      <c r="B188" s="150"/>
      <c r="C188" s="85"/>
      <c r="D188" s="85"/>
      <c r="E188" s="85"/>
      <c r="F188" s="85"/>
      <c r="G188" s="85"/>
      <c r="H188" s="85"/>
      <c r="I188" s="85"/>
      <c r="J188" s="152" t="str">
        <f t="shared" si="2"/>
        <v/>
      </c>
    </row>
    <row r="189" spans="1:10" x14ac:dyDescent="0.3">
      <c r="A189">
        <v>176</v>
      </c>
      <c r="B189" s="150"/>
      <c r="C189" s="85"/>
      <c r="D189" s="85"/>
      <c r="E189" s="85"/>
      <c r="F189" s="85"/>
      <c r="G189" s="85"/>
      <c r="H189" s="85"/>
      <c r="I189" s="85"/>
      <c r="J189" s="152" t="str">
        <f t="shared" si="2"/>
        <v/>
      </c>
    </row>
    <row r="190" spans="1:10" x14ac:dyDescent="0.3">
      <c r="A190">
        <v>177</v>
      </c>
      <c r="B190" s="150"/>
      <c r="C190" s="85"/>
      <c r="D190" s="85"/>
      <c r="E190" s="85"/>
      <c r="F190" s="85"/>
      <c r="G190" s="85"/>
      <c r="H190" s="85"/>
      <c r="I190" s="85"/>
      <c r="J190" s="152" t="str">
        <f t="shared" si="2"/>
        <v/>
      </c>
    </row>
    <row r="191" spans="1:10" x14ac:dyDescent="0.3">
      <c r="A191">
        <v>178</v>
      </c>
      <c r="B191" s="150"/>
      <c r="C191" s="85"/>
      <c r="D191" s="85"/>
      <c r="E191" s="85"/>
      <c r="F191" s="85"/>
      <c r="G191" s="85"/>
      <c r="H191" s="85"/>
      <c r="I191" s="85"/>
      <c r="J191" s="152" t="str">
        <f t="shared" si="2"/>
        <v/>
      </c>
    </row>
    <row r="192" spans="1:10" x14ac:dyDescent="0.3">
      <c r="A192">
        <v>179</v>
      </c>
      <c r="B192" s="150"/>
      <c r="C192" s="85"/>
      <c r="D192" s="85"/>
      <c r="E192" s="85"/>
      <c r="F192" s="85"/>
      <c r="G192" s="85"/>
      <c r="H192" s="85"/>
      <c r="I192" s="85"/>
      <c r="J192" s="152" t="str">
        <f t="shared" si="2"/>
        <v/>
      </c>
    </row>
    <row r="193" spans="1:10" x14ac:dyDescent="0.3">
      <c r="A193">
        <v>180</v>
      </c>
      <c r="B193" s="150"/>
      <c r="C193" s="85"/>
      <c r="D193" s="85"/>
      <c r="E193" s="85"/>
      <c r="F193" s="85"/>
      <c r="G193" s="85"/>
      <c r="H193" s="85"/>
      <c r="I193" s="85"/>
      <c r="J193" s="152" t="str">
        <f t="shared" si="2"/>
        <v/>
      </c>
    </row>
    <row r="194" spans="1:10" x14ac:dyDescent="0.3">
      <c r="A194">
        <v>181</v>
      </c>
      <c r="B194" s="150"/>
      <c r="C194" s="85"/>
      <c r="D194" s="85"/>
      <c r="E194" s="85"/>
      <c r="F194" s="85"/>
      <c r="G194" s="85"/>
      <c r="H194" s="85"/>
      <c r="I194" s="85"/>
      <c r="J194" s="152" t="str">
        <f t="shared" si="2"/>
        <v/>
      </c>
    </row>
    <row r="195" spans="1:10" x14ac:dyDescent="0.3">
      <c r="A195">
        <v>182</v>
      </c>
      <c r="B195" s="150"/>
      <c r="C195" s="85"/>
      <c r="D195" s="85"/>
      <c r="E195" s="85"/>
      <c r="F195" s="85"/>
      <c r="G195" s="85"/>
      <c r="H195" s="85"/>
      <c r="I195" s="85"/>
      <c r="J195" s="152" t="str">
        <f t="shared" si="2"/>
        <v/>
      </c>
    </row>
    <row r="196" spans="1:10" x14ac:dyDescent="0.3">
      <c r="A196">
        <v>183</v>
      </c>
      <c r="B196" s="150"/>
      <c r="C196" s="85"/>
      <c r="D196" s="85"/>
      <c r="E196" s="85"/>
      <c r="F196" s="85"/>
      <c r="G196" s="85"/>
      <c r="H196" s="85"/>
      <c r="I196" s="85"/>
      <c r="J196" s="152" t="str">
        <f t="shared" si="2"/>
        <v/>
      </c>
    </row>
    <row r="197" spans="1:10" x14ac:dyDescent="0.3">
      <c r="A197">
        <v>184</v>
      </c>
      <c r="B197" s="150"/>
      <c r="C197" s="85"/>
      <c r="D197" s="85"/>
      <c r="E197" s="85"/>
      <c r="F197" s="85"/>
      <c r="G197" s="85"/>
      <c r="H197" s="85"/>
      <c r="I197" s="85"/>
      <c r="J197" s="152" t="str">
        <f t="shared" si="2"/>
        <v/>
      </c>
    </row>
    <row r="198" spans="1:10" x14ac:dyDescent="0.3">
      <c r="A198">
        <v>185</v>
      </c>
      <c r="B198" s="150"/>
      <c r="C198" s="85"/>
      <c r="D198" s="85"/>
      <c r="E198" s="85"/>
      <c r="F198" s="85"/>
      <c r="G198" s="85"/>
      <c r="H198" s="85"/>
      <c r="I198" s="85"/>
      <c r="J198" s="152" t="str">
        <f t="shared" si="2"/>
        <v/>
      </c>
    </row>
    <row r="199" spans="1:10" x14ac:dyDescent="0.3">
      <c r="A199">
        <v>186</v>
      </c>
      <c r="B199" s="150"/>
      <c r="C199" s="85"/>
      <c r="D199" s="85"/>
      <c r="E199" s="85"/>
      <c r="F199" s="85"/>
      <c r="G199" s="85"/>
      <c r="H199" s="85"/>
      <c r="I199" s="85"/>
      <c r="J199" s="152" t="str">
        <f t="shared" si="2"/>
        <v/>
      </c>
    </row>
    <row r="200" spans="1:10" x14ac:dyDescent="0.3">
      <c r="A200">
        <v>187</v>
      </c>
      <c r="B200" s="150"/>
      <c r="C200" s="85"/>
      <c r="D200" s="85"/>
      <c r="E200" s="85"/>
      <c r="F200" s="85"/>
      <c r="G200" s="85"/>
      <c r="H200" s="85"/>
      <c r="I200" s="85"/>
      <c r="J200" s="152" t="str">
        <f t="shared" si="2"/>
        <v/>
      </c>
    </row>
    <row r="201" spans="1:10" x14ac:dyDescent="0.3">
      <c r="A201">
        <v>188</v>
      </c>
      <c r="B201" s="150"/>
      <c r="C201" s="85"/>
      <c r="D201" s="85"/>
      <c r="E201" s="85"/>
      <c r="F201" s="85"/>
      <c r="G201" s="85"/>
      <c r="H201" s="85"/>
      <c r="I201" s="85"/>
      <c r="J201" s="152" t="str">
        <f t="shared" si="2"/>
        <v/>
      </c>
    </row>
    <row r="202" spans="1:10" x14ac:dyDescent="0.3">
      <c r="A202">
        <v>189</v>
      </c>
      <c r="B202" s="150"/>
      <c r="C202" s="85"/>
      <c r="D202" s="85"/>
      <c r="E202" s="85"/>
      <c r="F202" s="85"/>
      <c r="G202" s="85"/>
      <c r="H202" s="85"/>
      <c r="I202" s="85"/>
      <c r="J202" s="152" t="str">
        <f t="shared" si="2"/>
        <v/>
      </c>
    </row>
    <row r="203" spans="1:10" x14ac:dyDescent="0.3">
      <c r="A203">
        <v>190</v>
      </c>
      <c r="B203" s="150"/>
      <c r="C203" s="85"/>
      <c r="D203" s="85"/>
      <c r="E203" s="85"/>
      <c r="F203" s="85"/>
      <c r="G203" s="85"/>
      <c r="H203" s="85"/>
      <c r="I203" s="85"/>
      <c r="J203" s="152" t="str">
        <f t="shared" si="2"/>
        <v/>
      </c>
    </row>
    <row r="204" spans="1:10" x14ac:dyDescent="0.3">
      <c r="A204">
        <v>191</v>
      </c>
      <c r="B204" s="150"/>
      <c r="C204" s="85"/>
      <c r="D204" s="85"/>
      <c r="E204" s="85"/>
      <c r="F204" s="85"/>
      <c r="G204" s="85"/>
      <c r="H204" s="85"/>
      <c r="I204" s="85"/>
      <c r="J204" s="152" t="str">
        <f t="shared" si="2"/>
        <v/>
      </c>
    </row>
    <row r="205" spans="1:10" x14ac:dyDescent="0.3">
      <c r="A205">
        <v>192</v>
      </c>
      <c r="B205" s="150"/>
      <c r="C205" s="85"/>
      <c r="D205" s="85"/>
      <c r="E205" s="85"/>
      <c r="F205" s="85"/>
      <c r="G205" s="85"/>
      <c r="H205" s="85"/>
      <c r="I205" s="85"/>
      <c r="J205" s="152" t="str">
        <f t="shared" si="2"/>
        <v/>
      </c>
    </row>
    <row r="206" spans="1:10" x14ac:dyDescent="0.3">
      <c r="A206">
        <v>193</v>
      </c>
      <c r="B206" s="150"/>
      <c r="C206" s="85"/>
      <c r="D206" s="85"/>
      <c r="E206" s="85"/>
      <c r="F206" s="85"/>
      <c r="G206" s="85"/>
      <c r="H206" s="85"/>
      <c r="I206" s="85"/>
      <c r="J206" s="152" t="str">
        <f t="shared" si="2"/>
        <v/>
      </c>
    </row>
    <row r="207" spans="1:10" x14ac:dyDescent="0.3">
      <c r="A207">
        <v>194</v>
      </c>
      <c r="B207" s="150"/>
      <c r="C207" s="85"/>
      <c r="D207" s="85"/>
      <c r="E207" s="85"/>
      <c r="F207" s="85"/>
      <c r="G207" s="85"/>
      <c r="H207" s="85"/>
      <c r="I207" s="85"/>
      <c r="J207" s="152" t="str">
        <f t="shared" ref="J207:J270" si="3">IF(B207&lt;&gt;"",SUM(C207:I207),"")</f>
        <v/>
      </c>
    </row>
    <row r="208" spans="1:10" x14ac:dyDescent="0.3">
      <c r="A208">
        <v>195</v>
      </c>
      <c r="B208" s="150"/>
      <c r="C208" s="85"/>
      <c r="D208" s="85"/>
      <c r="E208" s="85"/>
      <c r="F208" s="85"/>
      <c r="G208" s="85"/>
      <c r="H208" s="85"/>
      <c r="I208" s="85"/>
      <c r="J208" s="152" t="str">
        <f t="shared" si="3"/>
        <v/>
      </c>
    </row>
    <row r="209" spans="1:10" x14ac:dyDescent="0.3">
      <c r="A209">
        <v>196</v>
      </c>
      <c r="B209" s="150"/>
      <c r="C209" s="85"/>
      <c r="D209" s="85"/>
      <c r="E209" s="85"/>
      <c r="F209" s="85"/>
      <c r="G209" s="85"/>
      <c r="H209" s="85"/>
      <c r="I209" s="85"/>
      <c r="J209" s="152" t="str">
        <f t="shared" si="3"/>
        <v/>
      </c>
    </row>
    <row r="210" spans="1:10" x14ac:dyDescent="0.3">
      <c r="A210">
        <v>197</v>
      </c>
      <c r="B210" s="150"/>
      <c r="C210" s="85"/>
      <c r="D210" s="85"/>
      <c r="E210" s="85"/>
      <c r="F210" s="85"/>
      <c r="G210" s="85"/>
      <c r="H210" s="85"/>
      <c r="I210" s="85"/>
      <c r="J210" s="152" t="str">
        <f t="shared" si="3"/>
        <v/>
      </c>
    </row>
    <row r="211" spans="1:10" x14ac:dyDescent="0.3">
      <c r="A211">
        <v>198</v>
      </c>
      <c r="B211" s="150"/>
      <c r="C211" s="85"/>
      <c r="D211" s="85"/>
      <c r="E211" s="85"/>
      <c r="F211" s="85"/>
      <c r="G211" s="85"/>
      <c r="H211" s="85"/>
      <c r="I211" s="85"/>
      <c r="J211" s="152" t="str">
        <f t="shared" si="3"/>
        <v/>
      </c>
    </row>
    <row r="212" spans="1:10" x14ac:dyDescent="0.3">
      <c r="A212">
        <v>199</v>
      </c>
      <c r="B212" s="150"/>
      <c r="C212" s="85"/>
      <c r="D212" s="85"/>
      <c r="E212" s="85"/>
      <c r="F212" s="85"/>
      <c r="G212" s="85"/>
      <c r="H212" s="85"/>
      <c r="I212" s="85"/>
      <c r="J212" s="152" t="str">
        <f t="shared" si="3"/>
        <v/>
      </c>
    </row>
    <row r="213" spans="1:10" x14ac:dyDescent="0.3">
      <c r="A213">
        <v>200</v>
      </c>
      <c r="B213" s="150"/>
      <c r="C213" s="85"/>
      <c r="D213" s="85"/>
      <c r="E213" s="85"/>
      <c r="F213" s="85"/>
      <c r="G213" s="85"/>
      <c r="H213" s="85"/>
      <c r="I213" s="85"/>
      <c r="J213" s="152" t="str">
        <f t="shared" si="3"/>
        <v/>
      </c>
    </row>
    <row r="214" spans="1:10" x14ac:dyDescent="0.3">
      <c r="A214">
        <v>201</v>
      </c>
      <c r="B214" s="150"/>
      <c r="C214" s="85"/>
      <c r="D214" s="85"/>
      <c r="E214" s="85"/>
      <c r="F214" s="85"/>
      <c r="G214" s="85"/>
      <c r="H214" s="85"/>
      <c r="I214" s="85"/>
      <c r="J214" s="152" t="str">
        <f t="shared" si="3"/>
        <v/>
      </c>
    </row>
    <row r="215" spans="1:10" x14ac:dyDescent="0.3">
      <c r="A215">
        <v>202</v>
      </c>
      <c r="B215" s="150"/>
      <c r="C215" s="85"/>
      <c r="D215" s="85"/>
      <c r="E215" s="85"/>
      <c r="F215" s="85"/>
      <c r="G215" s="85"/>
      <c r="H215" s="85"/>
      <c r="I215" s="85"/>
      <c r="J215" s="152" t="str">
        <f t="shared" si="3"/>
        <v/>
      </c>
    </row>
    <row r="216" spans="1:10" x14ac:dyDescent="0.3">
      <c r="A216">
        <v>203</v>
      </c>
      <c r="B216" s="150"/>
      <c r="C216" s="85"/>
      <c r="D216" s="85"/>
      <c r="E216" s="85"/>
      <c r="F216" s="85"/>
      <c r="G216" s="85"/>
      <c r="H216" s="85"/>
      <c r="I216" s="85"/>
      <c r="J216" s="152" t="str">
        <f t="shared" si="3"/>
        <v/>
      </c>
    </row>
    <row r="217" spans="1:10" x14ac:dyDescent="0.3">
      <c r="A217">
        <v>204</v>
      </c>
      <c r="B217" s="150"/>
      <c r="C217" s="85"/>
      <c r="D217" s="85"/>
      <c r="E217" s="85"/>
      <c r="F217" s="85"/>
      <c r="G217" s="85"/>
      <c r="H217" s="85"/>
      <c r="I217" s="85"/>
      <c r="J217" s="152" t="str">
        <f t="shared" si="3"/>
        <v/>
      </c>
    </row>
    <row r="218" spans="1:10" x14ac:dyDescent="0.3">
      <c r="A218">
        <v>205</v>
      </c>
      <c r="B218" s="150"/>
      <c r="C218" s="85"/>
      <c r="D218" s="85"/>
      <c r="E218" s="85"/>
      <c r="F218" s="85"/>
      <c r="G218" s="85"/>
      <c r="H218" s="85"/>
      <c r="I218" s="85"/>
      <c r="J218" s="152" t="str">
        <f t="shared" si="3"/>
        <v/>
      </c>
    </row>
    <row r="219" spans="1:10" x14ac:dyDescent="0.3">
      <c r="A219">
        <v>206</v>
      </c>
      <c r="B219" s="150"/>
      <c r="C219" s="85"/>
      <c r="D219" s="85"/>
      <c r="E219" s="85"/>
      <c r="F219" s="85"/>
      <c r="G219" s="85"/>
      <c r="H219" s="85"/>
      <c r="I219" s="85"/>
      <c r="J219" s="152" t="str">
        <f t="shared" si="3"/>
        <v/>
      </c>
    </row>
    <row r="220" spans="1:10" x14ac:dyDescent="0.3">
      <c r="A220">
        <v>207</v>
      </c>
      <c r="B220" s="150"/>
      <c r="C220" s="85"/>
      <c r="D220" s="85"/>
      <c r="E220" s="85"/>
      <c r="F220" s="85"/>
      <c r="G220" s="85"/>
      <c r="H220" s="85"/>
      <c r="I220" s="85"/>
      <c r="J220" s="152" t="str">
        <f t="shared" si="3"/>
        <v/>
      </c>
    </row>
    <row r="221" spans="1:10" x14ac:dyDescent="0.3">
      <c r="A221">
        <v>208</v>
      </c>
      <c r="B221" s="150"/>
      <c r="C221" s="85"/>
      <c r="D221" s="85"/>
      <c r="E221" s="85"/>
      <c r="F221" s="85"/>
      <c r="G221" s="85"/>
      <c r="H221" s="85"/>
      <c r="I221" s="85"/>
      <c r="J221" s="152" t="str">
        <f t="shared" si="3"/>
        <v/>
      </c>
    </row>
    <row r="222" spans="1:10" x14ac:dyDescent="0.3">
      <c r="A222">
        <v>209</v>
      </c>
      <c r="B222" s="150"/>
      <c r="C222" s="85"/>
      <c r="D222" s="85"/>
      <c r="E222" s="85"/>
      <c r="F222" s="85"/>
      <c r="G222" s="85"/>
      <c r="H222" s="85"/>
      <c r="I222" s="85"/>
      <c r="J222" s="152" t="str">
        <f t="shared" si="3"/>
        <v/>
      </c>
    </row>
    <row r="223" spans="1:10" x14ac:dyDescent="0.3">
      <c r="A223">
        <v>210</v>
      </c>
      <c r="B223" s="150"/>
      <c r="C223" s="85"/>
      <c r="D223" s="85"/>
      <c r="E223" s="85"/>
      <c r="F223" s="85"/>
      <c r="G223" s="85"/>
      <c r="H223" s="85"/>
      <c r="I223" s="85"/>
      <c r="J223" s="152" t="str">
        <f t="shared" si="3"/>
        <v/>
      </c>
    </row>
    <row r="224" spans="1:10" x14ac:dyDescent="0.3">
      <c r="A224">
        <v>211</v>
      </c>
      <c r="B224" s="150"/>
      <c r="C224" s="85"/>
      <c r="D224" s="85"/>
      <c r="E224" s="85"/>
      <c r="F224" s="85"/>
      <c r="G224" s="85"/>
      <c r="H224" s="85"/>
      <c r="I224" s="85"/>
      <c r="J224" s="152" t="str">
        <f t="shared" si="3"/>
        <v/>
      </c>
    </row>
    <row r="225" spans="1:10" x14ac:dyDescent="0.3">
      <c r="A225">
        <v>212</v>
      </c>
      <c r="B225" s="150"/>
      <c r="C225" s="85"/>
      <c r="D225" s="85"/>
      <c r="E225" s="85"/>
      <c r="F225" s="85"/>
      <c r="G225" s="85"/>
      <c r="H225" s="85"/>
      <c r="I225" s="85"/>
      <c r="J225" s="152" t="str">
        <f t="shared" si="3"/>
        <v/>
      </c>
    </row>
    <row r="226" spans="1:10" x14ac:dyDescent="0.3">
      <c r="A226">
        <v>213</v>
      </c>
      <c r="B226" s="150"/>
      <c r="C226" s="85"/>
      <c r="D226" s="85"/>
      <c r="E226" s="85"/>
      <c r="F226" s="85"/>
      <c r="G226" s="85"/>
      <c r="H226" s="85"/>
      <c r="I226" s="85"/>
      <c r="J226" s="152" t="str">
        <f t="shared" si="3"/>
        <v/>
      </c>
    </row>
    <row r="227" spans="1:10" x14ac:dyDescent="0.3">
      <c r="A227">
        <v>214</v>
      </c>
      <c r="B227" s="150"/>
      <c r="C227" s="85"/>
      <c r="D227" s="85"/>
      <c r="E227" s="85"/>
      <c r="F227" s="85"/>
      <c r="G227" s="85"/>
      <c r="H227" s="85"/>
      <c r="I227" s="85"/>
      <c r="J227" s="152" t="str">
        <f t="shared" si="3"/>
        <v/>
      </c>
    </row>
    <row r="228" spans="1:10" x14ac:dyDescent="0.3">
      <c r="A228">
        <v>215</v>
      </c>
      <c r="B228" s="150"/>
      <c r="C228" s="85"/>
      <c r="D228" s="85"/>
      <c r="E228" s="85"/>
      <c r="F228" s="85"/>
      <c r="G228" s="85"/>
      <c r="H228" s="85"/>
      <c r="I228" s="85"/>
      <c r="J228" s="152" t="str">
        <f t="shared" si="3"/>
        <v/>
      </c>
    </row>
    <row r="229" spans="1:10" x14ac:dyDescent="0.3">
      <c r="A229">
        <v>216</v>
      </c>
      <c r="B229" s="150"/>
      <c r="C229" s="85"/>
      <c r="D229" s="85"/>
      <c r="E229" s="85"/>
      <c r="F229" s="85"/>
      <c r="G229" s="85"/>
      <c r="H229" s="85"/>
      <c r="I229" s="85"/>
      <c r="J229" s="152" t="str">
        <f t="shared" si="3"/>
        <v/>
      </c>
    </row>
    <row r="230" spans="1:10" x14ac:dyDescent="0.3">
      <c r="A230">
        <v>217</v>
      </c>
      <c r="B230" s="150"/>
      <c r="C230" s="85"/>
      <c r="D230" s="85"/>
      <c r="E230" s="85"/>
      <c r="F230" s="85"/>
      <c r="G230" s="85"/>
      <c r="H230" s="85"/>
      <c r="I230" s="85"/>
      <c r="J230" s="152" t="str">
        <f t="shared" si="3"/>
        <v/>
      </c>
    </row>
    <row r="231" spans="1:10" x14ac:dyDescent="0.3">
      <c r="A231">
        <v>218</v>
      </c>
      <c r="B231" s="150"/>
      <c r="C231" s="85"/>
      <c r="D231" s="85"/>
      <c r="E231" s="85"/>
      <c r="F231" s="85"/>
      <c r="G231" s="85"/>
      <c r="H231" s="85"/>
      <c r="I231" s="85"/>
      <c r="J231" s="152" t="str">
        <f t="shared" si="3"/>
        <v/>
      </c>
    </row>
    <row r="232" spans="1:10" x14ac:dyDescent="0.3">
      <c r="A232">
        <v>219</v>
      </c>
      <c r="B232" s="150"/>
      <c r="C232" s="85"/>
      <c r="D232" s="85"/>
      <c r="E232" s="85"/>
      <c r="F232" s="85"/>
      <c r="G232" s="85"/>
      <c r="H232" s="85"/>
      <c r="I232" s="85"/>
      <c r="J232" s="152" t="str">
        <f t="shared" si="3"/>
        <v/>
      </c>
    </row>
    <row r="233" spans="1:10" x14ac:dyDescent="0.3">
      <c r="A233">
        <v>220</v>
      </c>
      <c r="B233" s="150"/>
      <c r="C233" s="85"/>
      <c r="D233" s="85"/>
      <c r="E233" s="85"/>
      <c r="F233" s="85"/>
      <c r="G233" s="85"/>
      <c r="H233" s="85"/>
      <c r="I233" s="85"/>
      <c r="J233" s="152" t="str">
        <f t="shared" si="3"/>
        <v/>
      </c>
    </row>
    <row r="234" spans="1:10" x14ac:dyDescent="0.3">
      <c r="A234">
        <v>221</v>
      </c>
      <c r="B234" s="150"/>
      <c r="C234" s="85"/>
      <c r="D234" s="85"/>
      <c r="E234" s="85"/>
      <c r="F234" s="85"/>
      <c r="G234" s="85"/>
      <c r="H234" s="85"/>
      <c r="I234" s="85"/>
      <c r="J234" s="152" t="str">
        <f t="shared" si="3"/>
        <v/>
      </c>
    </row>
    <row r="235" spans="1:10" x14ac:dyDescent="0.3">
      <c r="A235">
        <v>222</v>
      </c>
      <c r="B235" s="150"/>
      <c r="C235" s="85"/>
      <c r="D235" s="85"/>
      <c r="E235" s="85"/>
      <c r="F235" s="85"/>
      <c r="G235" s="85"/>
      <c r="H235" s="85"/>
      <c r="I235" s="85"/>
      <c r="J235" s="152" t="str">
        <f t="shared" si="3"/>
        <v/>
      </c>
    </row>
    <row r="236" spans="1:10" x14ac:dyDescent="0.3">
      <c r="A236">
        <v>223</v>
      </c>
      <c r="B236" s="150"/>
      <c r="C236" s="85"/>
      <c r="D236" s="85"/>
      <c r="E236" s="85"/>
      <c r="F236" s="85"/>
      <c r="G236" s="85"/>
      <c r="H236" s="85"/>
      <c r="I236" s="85"/>
      <c r="J236" s="152" t="str">
        <f t="shared" si="3"/>
        <v/>
      </c>
    </row>
    <row r="237" spans="1:10" x14ac:dyDescent="0.3">
      <c r="A237">
        <v>224</v>
      </c>
      <c r="B237" s="150"/>
      <c r="C237" s="85"/>
      <c r="D237" s="85"/>
      <c r="E237" s="85"/>
      <c r="F237" s="85"/>
      <c r="G237" s="85"/>
      <c r="H237" s="85"/>
      <c r="I237" s="85"/>
      <c r="J237" s="152" t="str">
        <f t="shared" si="3"/>
        <v/>
      </c>
    </row>
    <row r="238" spans="1:10" x14ac:dyDescent="0.3">
      <c r="A238">
        <v>225</v>
      </c>
      <c r="B238" s="150"/>
      <c r="C238" s="85"/>
      <c r="D238" s="85"/>
      <c r="E238" s="85"/>
      <c r="F238" s="85"/>
      <c r="G238" s="85"/>
      <c r="H238" s="85"/>
      <c r="I238" s="85"/>
      <c r="J238" s="152" t="str">
        <f t="shared" si="3"/>
        <v/>
      </c>
    </row>
    <row r="239" spans="1:10" x14ac:dyDescent="0.3">
      <c r="A239">
        <v>226</v>
      </c>
      <c r="B239" s="150"/>
      <c r="C239" s="85"/>
      <c r="D239" s="85"/>
      <c r="E239" s="85"/>
      <c r="F239" s="85"/>
      <c r="G239" s="85"/>
      <c r="H239" s="85"/>
      <c r="I239" s="85"/>
      <c r="J239" s="152" t="str">
        <f t="shared" si="3"/>
        <v/>
      </c>
    </row>
    <row r="240" spans="1:10" x14ac:dyDescent="0.3">
      <c r="A240">
        <v>227</v>
      </c>
      <c r="B240" s="150"/>
      <c r="C240" s="85"/>
      <c r="D240" s="85"/>
      <c r="E240" s="85"/>
      <c r="F240" s="85"/>
      <c r="G240" s="85"/>
      <c r="H240" s="85"/>
      <c r="I240" s="85"/>
      <c r="J240" s="152" t="str">
        <f t="shared" si="3"/>
        <v/>
      </c>
    </row>
    <row r="241" spans="1:10" x14ac:dyDescent="0.3">
      <c r="A241">
        <v>228</v>
      </c>
      <c r="B241" s="150"/>
      <c r="C241" s="85"/>
      <c r="D241" s="85"/>
      <c r="E241" s="85"/>
      <c r="F241" s="85"/>
      <c r="G241" s="85"/>
      <c r="H241" s="85"/>
      <c r="I241" s="85"/>
      <c r="J241" s="152" t="str">
        <f t="shared" si="3"/>
        <v/>
      </c>
    </row>
    <row r="242" spans="1:10" x14ac:dyDescent="0.3">
      <c r="A242">
        <v>229</v>
      </c>
      <c r="B242" s="150"/>
      <c r="C242" s="85"/>
      <c r="D242" s="85"/>
      <c r="E242" s="85"/>
      <c r="F242" s="85"/>
      <c r="G242" s="85"/>
      <c r="H242" s="85"/>
      <c r="I242" s="85"/>
      <c r="J242" s="152" t="str">
        <f t="shared" si="3"/>
        <v/>
      </c>
    </row>
    <row r="243" spans="1:10" x14ac:dyDescent="0.3">
      <c r="A243">
        <v>230</v>
      </c>
      <c r="B243" s="150"/>
      <c r="C243" s="85"/>
      <c r="D243" s="85"/>
      <c r="E243" s="85"/>
      <c r="F243" s="85"/>
      <c r="G243" s="85"/>
      <c r="H243" s="85"/>
      <c r="I243" s="85"/>
      <c r="J243" s="152" t="str">
        <f t="shared" si="3"/>
        <v/>
      </c>
    </row>
    <row r="244" spans="1:10" x14ac:dyDescent="0.3">
      <c r="A244">
        <v>231</v>
      </c>
      <c r="B244" s="150"/>
      <c r="C244" s="85"/>
      <c r="D244" s="85"/>
      <c r="E244" s="85"/>
      <c r="F244" s="85"/>
      <c r="G244" s="85"/>
      <c r="H244" s="85"/>
      <c r="I244" s="85"/>
      <c r="J244" s="152" t="str">
        <f t="shared" si="3"/>
        <v/>
      </c>
    </row>
    <row r="245" spans="1:10" x14ac:dyDescent="0.3">
      <c r="A245">
        <v>232</v>
      </c>
      <c r="B245" s="150"/>
      <c r="C245" s="85"/>
      <c r="D245" s="85"/>
      <c r="E245" s="85"/>
      <c r="F245" s="85"/>
      <c r="G245" s="85"/>
      <c r="H245" s="85"/>
      <c r="I245" s="85"/>
      <c r="J245" s="152" t="str">
        <f t="shared" si="3"/>
        <v/>
      </c>
    </row>
    <row r="246" spans="1:10" x14ac:dyDescent="0.3">
      <c r="A246">
        <v>233</v>
      </c>
      <c r="B246" s="150"/>
      <c r="C246" s="85"/>
      <c r="D246" s="85"/>
      <c r="E246" s="85"/>
      <c r="F246" s="85"/>
      <c r="G246" s="85"/>
      <c r="H246" s="85"/>
      <c r="I246" s="85"/>
      <c r="J246" s="152" t="str">
        <f t="shared" si="3"/>
        <v/>
      </c>
    </row>
    <row r="247" spans="1:10" x14ac:dyDescent="0.3">
      <c r="A247">
        <v>234</v>
      </c>
      <c r="B247" s="150"/>
      <c r="C247" s="85"/>
      <c r="D247" s="85"/>
      <c r="E247" s="85"/>
      <c r="F247" s="85"/>
      <c r="G247" s="85"/>
      <c r="H247" s="85"/>
      <c r="I247" s="85"/>
      <c r="J247" s="152" t="str">
        <f t="shared" si="3"/>
        <v/>
      </c>
    </row>
    <row r="248" spans="1:10" x14ac:dyDescent="0.3">
      <c r="A248">
        <v>235</v>
      </c>
      <c r="B248" s="150"/>
      <c r="C248" s="85"/>
      <c r="D248" s="85"/>
      <c r="E248" s="85"/>
      <c r="F248" s="85"/>
      <c r="G248" s="85"/>
      <c r="H248" s="85"/>
      <c r="I248" s="85"/>
      <c r="J248" s="152" t="str">
        <f t="shared" si="3"/>
        <v/>
      </c>
    </row>
    <row r="249" spans="1:10" x14ac:dyDescent="0.3">
      <c r="A249">
        <v>236</v>
      </c>
      <c r="B249" s="150"/>
      <c r="C249" s="85"/>
      <c r="D249" s="85"/>
      <c r="E249" s="85"/>
      <c r="F249" s="85"/>
      <c r="G249" s="85"/>
      <c r="H249" s="85"/>
      <c r="I249" s="85"/>
      <c r="J249" s="152" t="str">
        <f t="shared" si="3"/>
        <v/>
      </c>
    </row>
    <row r="250" spans="1:10" x14ac:dyDescent="0.3">
      <c r="A250">
        <v>237</v>
      </c>
      <c r="B250" s="150"/>
      <c r="C250" s="85"/>
      <c r="D250" s="85"/>
      <c r="E250" s="85"/>
      <c r="F250" s="85"/>
      <c r="G250" s="85"/>
      <c r="H250" s="85"/>
      <c r="I250" s="85"/>
      <c r="J250" s="152" t="str">
        <f t="shared" si="3"/>
        <v/>
      </c>
    </row>
    <row r="251" spans="1:10" x14ac:dyDescent="0.3">
      <c r="A251">
        <v>238</v>
      </c>
      <c r="B251" s="150"/>
      <c r="C251" s="85"/>
      <c r="D251" s="85"/>
      <c r="E251" s="85"/>
      <c r="F251" s="85"/>
      <c r="G251" s="85"/>
      <c r="H251" s="85"/>
      <c r="I251" s="85"/>
      <c r="J251" s="152" t="str">
        <f t="shared" si="3"/>
        <v/>
      </c>
    </row>
    <row r="252" spans="1:10" x14ac:dyDescent="0.3">
      <c r="A252">
        <v>239</v>
      </c>
      <c r="B252" s="150"/>
      <c r="C252" s="85"/>
      <c r="D252" s="85"/>
      <c r="E252" s="85"/>
      <c r="F252" s="85"/>
      <c r="G252" s="85"/>
      <c r="H252" s="85"/>
      <c r="I252" s="85"/>
      <c r="J252" s="152" t="str">
        <f t="shared" si="3"/>
        <v/>
      </c>
    </row>
    <row r="253" spans="1:10" x14ac:dyDescent="0.3">
      <c r="A253">
        <v>240</v>
      </c>
      <c r="B253" s="150"/>
      <c r="C253" s="85"/>
      <c r="D253" s="85"/>
      <c r="E253" s="85"/>
      <c r="F253" s="85"/>
      <c r="G253" s="85"/>
      <c r="H253" s="85"/>
      <c r="I253" s="85"/>
      <c r="J253" s="152" t="str">
        <f t="shared" si="3"/>
        <v/>
      </c>
    </row>
    <row r="254" spans="1:10" x14ac:dyDescent="0.3">
      <c r="A254">
        <v>241</v>
      </c>
      <c r="B254" s="150"/>
      <c r="C254" s="85"/>
      <c r="D254" s="85"/>
      <c r="E254" s="85"/>
      <c r="F254" s="85"/>
      <c r="G254" s="85"/>
      <c r="H254" s="85"/>
      <c r="I254" s="85"/>
      <c r="J254" s="152" t="str">
        <f t="shared" si="3"/>
        <v/>
      </c>
    </row>
    <row r="255" spans="1:10" x14ac:dyDescent="0.3">
      <c r="A255">
        <v>242</v>
      </c>
      <c r="B255" s="150"/>
      <c r="C255" s="85"/>
      <c r="D255" s="85"/>
      <c r="E255" s="85"/>
      <c r="F255" s="85"/>
      <c r="G255" s="85"/>
      <c r="H255" s="85"/>
      <c r="I255" s="85"/>
      <c r="J255" s="152" t="str">
        <f t="shared" si="3"/>
        <v/>
      </c>
    </row>
    <row r="256" spans="1:10" x14ac:dyDescent="0.3">
      <c r="A256">
        <v>243</v>
      </c>
      <c r="B256" s="150"/>
      <c r="C256" s="85"/>
      <c r="D256" s="85"/>
      <c r="E256" s="85"/>
      <c r="F256" s="85"/>
      <c r="G256" s="85"/>
      <c r="H256" s="85"/>
      <c r="I256" s="85"/>
      <c r="J256" s="152" t="str">
        <f t="shared" si="3"/>
        <v/>
      </c>
    </row>
    <row r="257" spans="1:10" x14ac:dyDescent="0.3">
      <c r="A257">
        <v>244</v>
      </c>
      <c r="B257" s="150"/>
      <c r="C257" s="85"/>
      <c r="D257" s="85"/>
      <c r="E257" s="85"/>
      <c r="F257" s="85"/>
      <c r="G257" s="85"/>
      <c r="H257" s="85"/>
      <c r="I257" s="85"/>
      <c r="J257" s="152" t="str">
        <f t="shared" si="3"/>
        <v/>
      </c>
    </row>
    <row r="258" spans="1:10" x14ac:dyDescent="0.3">
      <c r="A258">
        <v>245</v>
      </c>
      <c r="B258" s="150"/>
      <c r="C258" s="85"/>
      <c r="D258" s="85"/>
      <c r="E258" s="85"/>
      <c r="F258" s="85"/>
      <c r="G258" s="85"/>
      <c r="H258" s="85"/>
      <c r="I258" s="85"/>
      <c r="J258" s="152" t="str">
        <f t="shared" si="3"/>
        <v/>
      </c>
    </row>
    <row r="259" spans="1:10" x14ac:dyDescent="0.3">
      <c r="A259">
        <v>246</v>
      </c>
      <c r="B259" s="150"/>
      <c r="C259" s="85"/>
      <c r="D259" s="85"/>
      <c r="E259" s="85"/>
      <c r="F259" s="85"/>
      <c r="G259" s="85"/>
      <c r="H259" s="85"/>
      <c r="I259" s="85"/>
      <c r="J259" s="152" t="str">
        <f t="shared" si="3"/>
        <v/>
      </c>
    </row>
    <row r="260" spans="1:10" x14ac:dyDescent="0.3">
      <c r="A260">
        <v>247</v>
      </c>
      <c r="B260" s="150"/>
      <c r="C260" s="85"/>
      <c r="D260" s="85"/>
      <c r="E260" s="85"/>
      <c r="F260" s="85"/>
      <c r="G260" s="85"/>
      <c r="H260" s="85"/>
      <c r="I260" s="85"/>
      <c r="J260" s="152" t="str">
        <f t="shared" si="3"/>
        <v/>
      </c>
    </row>
    <row r="261" spans="1:10" x14ac:dyDescent="0.3">
      <c r="A261">
        <v>248</v>
      </c>
      <c r="B261" s="150"/>
      <c r="C261" s="85"/>
      <c r="D261" s="85"/>
      <c r="E261" s="85"/>
      <c r="F261" s="85"/>
      <c r="G261" s="85"/>
      <c r="H261" s="85"/>
      <c r="I261" s="85"/>
      <c r="J261" s="152" t="str">
        <f t="shared" si="3"/>
        <v/>
      </c>
    </row>
    <row r="262" spans="1:10" x14ac:dyDescent="0.3">
      <c r="A262">
        <v>249</v>
      </c>
      <c r="B262" s="150"/>
      <c r="C262" s="85"/>
      <c r="D262" s="85"/>
      <c r="E262" s="85"/>
      <c r="F262" s="85"/>
      <c r="G262" s="85"/>
      <c r="H262" s="85"/>
      <c r="I262" s="85"/>
      <c r="J262" s="152" t="str">
        <f t="shared" si="3"/>
        <v/>
      </c>
    </row>
    <row r="263" spans="1:10" x14ac:dyDescent="0.3">
      <c r="A263">
        <v>250</v>
      </c>
      <c r="B263" s="150"/>
      <c r="C263" s="85"/>
      <c r="D263" s="85"/>
      <c r="E263" s="85"/>
      <c r="F263" s="85"/>
      <c r="G263" s="85"/>
      <c r="H263" s="85"/>
      <c r="I263" s="85"/>
      <c r="J263" s="152" t="str">
        <f t="shared" si="3"/>
        <v/>
      </c>
    </row>
    <row r="264" spans="1:10" x14ac:dyDescent="0.3">
      <c r="A264">
        <v>251</v>
      </c>
      <c r="B264" s="150"/>
      <c r="C264" s="85"/>
      <c r="D264" s="85"/>
      <c r="E264" s="85"/>
      <c r="F264" s="85"/>
      <c r="G264" s="85"/>
      <c r="H264" s="85"/>
      <c r="I264" s="85"/>
      <c r="J264" s="152" t="str">
        <f t="shared" si="3"/>
        <v/>
      </c>
    </row>
    <row r="265" spans="1:10" x14ac:dyDescent="0.3">
      <c r="A265">
        <v>252</v>
      </c>
      <c r="B265" s="150"/>
      <c r="C265" s="85"/>
      <c r="D265" s="85"/>
      <c r="E265" s="85"/>
      <c r="F265" s="85"/>
      <c r="G265" s="85"/>
      <c r="H265" s="85"/>
      <c r="I265" s="85"/>
      <c r="J265" s="152" t="str">
        <f t="shared" si="3"/>
        <v/>
      </c>
    </row>
    <row r="266" spans="1:10" x14ac:dyDescent="0.3">
      <c r="A266">
        <v>253</v>
      </c>
      <c r="B266" s="150"/>
      <c r="C266" s="85"/>
      <c r="D266" s="85"/>
      <c r="E266" s="85"/>
      <c r="F266" s="85"/>
      <c r="G266" s="85"/>
      <c r="H266" s="85"/>
      <c r="I266" s="85"/>
      <c r="J266" s="152" t="str">
        <f t="shared" si="3"/>
        <v/>
      </c>
    </row>
    <row r="267" spans="1:10" x14ac:dyDescent="0.3">
      <c r="A267">
        <v>254</v>
      </c>
      <c r="B267" s="150"/>
      <c r="C267" s="85"/>
      <c r="D267" s="85"/>
      <c r="E267" s="85"/>
      <c r="F267" s="85"/>
      <c r="G267" s="85"/>
      <c r="H267" s="85"/>
      <c r="I267" s="85"/>
      <c r="J267" s="152" t="str">
        <f t="shared" si="3"/>
        <v/>
      </c>
    </row>
    <row r="268" spans="1:10" x14ac:dyDescent="0.3">
      <c r="A268">
        <v>255</v>
      </c>
      <c r="B268" s="150"/>
      <c r="C268" s="85"/>
      <c r="D268" s="85"/>
      <c r="E268" s="85"/>
      <c r="F268" s="85"/>
      <c r="G268" s="85"/>
      <c r="H268" s="85"/>
      <c r="I268" s="85"/>
      <c r="J268" s="152" t="str">
        <f t="shared" si="3"/>
        <v/>
      </c>
    </row>
    <row r="269" spans="1:10" x14ac:dyDescent="0.3">
      <c r="A269">
        <v>256</v>
      </c>
      <c r="B269" s="150"/>
      <c r="C269" s="85"/>
      <c r="D269" s="85"/>
      <c r="E269" s="85"/>
      <c r="F269" s="85"/>
      <c r="G269" s="85"/>
      <c r="H269" s="85"/>
      <c r="I269" s="85"/>
      <c r="J269" s="152" t="str">
        <f t="shared" si="3"/>
        <v/>
      </c>
    </row>
    <row r="270" spans="1:10" x14ac:dyDescent="0.3">
      <c r="A270">
        <v>257</v>
      </c>
      <c r="B270" s="150"/>
      <c r="C270" s="85"/>
      <c r="D270" s="85"/>
      <c r="E270" s="85"/>
      <c r="F270" s="85"/>
      <c r="G270" s="85"/>
      <c r="H270" s="85"/>
      <c r="I270" s="85"/>
      <c r="J270" s="152" t="str">
        <f t="shared" si="3"/>
        <v/>
      </c>
    </row>
    <row r="271" spans="1:10" x14ac:dyDescent="0.3">
      <c r="A271">
        <v>258</v>
      </c>
      <c r="B271" s="150"/>
      <c r="C271" s="85"/>
      <c r="D271" s="85"/>
      <c r="E271" s="85"/>
      <c r="F271" s="85"/>
      <c r="G271" s="85"/>
      <c r="H271" s="85"/>
      <c r="I271" s="85"/>
      <c r="J271" s="152" t="str">
        <f t="shared" ref="J271:J334" si="4">IF(B271&lt;&gt;"",SUM(C271:I271),"")</f>
        <v/>
      </c>
    </row>
    <row r="272" spans="1:10" x14ac:dyDescent="0.3">
      <c r="A272">
        <v>259</v>
      </c>
      <c r="B272" s="150"/>
      <c r="C272" s="85"/>
      <c r="D272" s="85"/>
      <c r="E272" s="85"/>
      <c r="F272" s="85"/>
      <c r="G272" s="85"/>
      <c r="H272" s="85"/>
      <c r="I272" s="85"/>
      <c r="J272" s="152" t="str">
        <f t="shared" si="4"/>
        <v/>
      </c>
    </row>
    <row r="273" spans="1:10" x14ac:dyDescent="0.3">
      <c r="A273">
        <v>260</v>
      </c>
      <c r="B273" s="150"/>
      <c r="C273" s="85"/>
      <c r="D273" s="85"/>
      <c r="E273" s="85"/>
      <c r="F273" s="85"/>
      <c r="G273" s="85"/>
      <c r="H273" s="85"/>
      <c r="I273" s="85"/>
      <c r="J273" s="152" t="str">
        <f t="shared" si="4"/>
        <v/>
      </c>
    </row>
    <row r="274" spans="1:10" x14ac:dyDescent="0.3">
      <c r="A274">
        <v>261</v>
      </c>
      <c r="B274" s="150"/>
      <c r="C274" s="85"/>
      <c r="D274" s="85"/>
      <c r="E274" s="85"/>
      <c r="F274" s="85"/>
      <c r="G274" s="85"/>
      <c r="H274" s="85"/>
      <c r="I274" s="85"/>
      <c r="J274" s="152" t="str">
        <f t="shared" si="4"/>
        <v/>
      </c>
    </row>
    <row r="275" spans="1:10" x14ac:dyDescent="0.3">
      <c r="A275">
        <v>262</v>
      </c>
      <c r="B275" s="150"/>
      <c r="C275" s="85"/>
      <c r="D275" s="85"/>
      <c r="E275" s="85"/>
      <c r="F275" s="85"/>
      <c r="G275" s="85"/>
      <c r="H275" s="85"/>
      <c r="I275" s="85"/>
      <c r="J275" s="152" t="str">
        <f t="shared" si="4"/>
        <v/>
      </c>
    </row>
    <row r="276" spans="1:10" x14ac:dyDescent="0.3">
      <c r="A276">
        <v>263</v>
      </c>
      <c r="B276" s="150"/>
      <c r="C276" s="85"/>
      <c r="D276" s="85"/>
      <c r="E276" s="85"/>
      <c r="F276" s="85"/>
      <c r="G276" s="85"/>
      <c r="H276" s="85"/>
      <c r="I276" s="85"/>
      <c r="J276" s="152" t="str">
        <f t="shared" si="4"/>
        <v/>
      </c>
    </row>
    <row r="277" spans="1:10" x14ac:dyDescent="0.3">
      <c r="A277">
        <v>264</v>
      </c>
      <c r="B277" s="150"/>
      <c r="C277" s="85"/>
      <c r="D277" s="85"/>
      <c r="E277" s="85"/>
      <c r="F277" s="85"/>
      <c r="G277" s="85"/>
      <c r="H277" s="85"/>
      <c r="I277" s="85"/>
      <c r="J277" s="152" t="str">
        <f t="shared" si="4"/>
        <v/>
      </c>
    </row>
    <row r="278" spans="1:10" x14ac:dyDescent="0.3">
      <c r="A278">
        <v>265</v>
      </c>
      <c r="B278" s="150"/>
      <c r="C278" s="85"/>
      <c r="D278" s="85"/>
      <c r="E278" s="85"/>
      <c r="F278" s="85"/>
      <c r="G278" s="85"/>
      <c r="H278" s="85"/>
      <c r="I278" s="85"/>
      <c r="J278" s="152" t="str">
        <f t="shared" si="4"/>
        <v/>
      </c>
    </row>
    <row r="279" spans="1:10" x14ac:dyDescent="0.3">
      <c r="A279">
        <v>266</v>
      </c>
      <c r="B279" s="150"/>
      <c r="C279" s="85"/>
      <c r="D279" s="85"/>
      <c r="E279" s="85"/>
      <c r="F279" s="85"/>
      <c r="G279" s="85"/>
      <c r="H279" s="85"/>
      <c r="I279" s="85"/>
      <c r="J279" s="152" t="str">
        <f t="shared" si="4"/>
        <v/>
      </c>
    </row>
    <row r="280" spans="1:10" x14ac:dyDescent="0.3">
      <c r="A280">
        <v>267</v>
      </c>
      <c r="B280" s="150"/>
      <c r="C280" s="85"/>
      <c r="D280" s="85"/>
      <c r="E280" s="85"/>
      <c r="F280" s="85"/>
      <c r="G280" s="85"/>
      <c r="H280" s="85"/>
      <c r="I280" s="85"/>
      <c r="J280" s="152" t="str">
        <f t="shared" si="4"/>
        <v/>
      </c>
    </row>
    <row r="281" spans="1:10" x14ac:dyDescent="0.3">
      <c r="A281">
        <v>268</v>
      </c>
      <c r="B281" s="150"/>
      <c r="C281" s="85"/>
      <c r="D281" s="85"/>
      <c r="E281" s="85"/>
      <c r="F281" s="85"/>
      <c r="G281" s="85"/>
      <c r="H281" s="85"/>
      <c r="I281" s="85"/>
      <c r="J281" s="152" t="str">
        <f t="shared" si="4"/>
        <v/>
      </c>
    </row>
    <row r="282" spans="1:10" x14ac:dyDescent="0.3">
      <c r="A282">
        <v>269</v>
      </c>
      <c r="B282" s="150"/>
      <c r="C282" s="85"/>
      <c r="D282" s="85"/>
      <c r="E282" s="85"/>
      <c r="F282" s="85"/>
      <c r="G282" s="85"/>
      <c r="H282" s="85"/>
      <c r="I282" s="85"/>
      <c r="J282" s="152" t="str">
        <f t="shared" si="4"/>
        <v/>
      </c>
    </row>
    <row r="283" spans="1:10" x14ac:dyDescent="0.3">
      <c r="A283">
        <v>270</v>
      </c>
      <c r="B283" s="150"/>
      <c r="C283" s="85"/>
      <c r="D283" s="85"/>
      <c r="E283" s="85"/>
      <c r="F283" s="85"/>
      <c r="G283" s="85"/>
      <c r="H283" s="85"/>
      <c r="I283" s="85"/>
      <c r="J283" s="152" t="str">
        <f t="shared" si="4"/>
        <v/>
      </c>
    </row>
    <row r="284" spans="1:10" x14ac:dyDescent="0.3">
      <c r="A284">
        <v>271</v>
      </c>
      <c r="B284" s="150"/>
      <c r="C284" s="85"/>
      <c r="D284" s="85"/>
      <c r="E284" s="85"/>
      <c r="F284" s="85"/>
      <c r="G284" s="85"/>
      <c r="H284" s="85"/>
      <c r="I284" s="85"/>
      <c r="J284" s="152" t="str">
        <f t="shared" si="4"/>
        <v/>
      </c>
    </row>
    <row r="285" spans="1:10" x14ac:dyDescent="0.3">
      <c r="A285">
        <v>272</v>
      </c>
      <c r="B285" s="150"/>
      <c r="C285" s="85"/>
      <c r="D285" s="85"/>
      <c r="E285" s="85"/>
      <c r="F285" s="85"/>
      <c r="G285" s="85"/>
      <c r="H285" s="85"/>
      <c r="I285" s="85"/>
      <c r="J285" s="152" t="str">
        <f t="shared" si="4"/>
        <v/>
      </c>
    </row>
    <row r="286" spans="1:10" x14ac:dyDescent="0.3">
      <c r="A286">
        <v>273</v>
      </c>
      <c r="B286" s="150"/>
      <c r="C286" s="85"/>
      <c r="D286" s="85"/>
      <c r="E286" s="85"/>
      <c r="F286" s="85"/>
      <c r="G286" s="85"/>
      <c r="H286" s="85"/>
      <c r="I286" s="85"/>
      <c r="J286" s="152" t="str">
        <f t="shared" si="4"/>
        <v/>
      </c>
    </row>
    <row r="287" spans="1:10" x14ac:dyDescent="0.3">
      <c r="A287">
        <v>274</v>
      </c>
      <c r="B287" s="150"/>
      <c r="C287" s="85"/>
      <c r="D287" s="85"/>
      <c r="E287" s="85"/>
      <c r="F287" s="85"/>
      <c r="G287" s="85"/>
      <c r="H287" s="85"/>
      <c r="I287" s="85"/>
      <c r="J287" s="152" t="str">
        <f t="shared" si="4"/>
        <v/>
      </c>
    </row>
    <row r="288" spans="1:10" x14ac:dyDescent="0.3">
      <c r="A288">
        <v>275</v>
      </c>
      <c r="B288" s="150"/>
      <c r="C288" s="85"/>
      <c r="D288" s="85"/>
      <c r="E288" s="85"/>
      <c r="F288" s="85"/>
      <c r="G288" s="85"/>
      <c r="H288" s="85"/>
      <c r="I288" s="85"/>
      <c r="J288" s="152" t="str">
        <f t="shared" si="4"/>
        <v/>
      </c>
    </row>
    <row r="289" spans="1:10" x14ac:dyDescent="0.3">
      <c r="A289">
        <v>276</v>
      </c>
      <c r="B289" s="150"/>
      <c r="C289" s="85"/>
      <c r="D289" s="85"/>
      <c r="E289" s="85"/>
      <c r="F289" s="85"/>
      <c r="G289" s="85"/>
      <c r="H289" s="85"/>
      <c r="I289" s="85"/>
      <c r="J289" s="152" t="str">
        <f t="shared" si="4"/>
        <v/>
      </c>
    </row>
    <row r="290" spans="1:10" x14ac:dyDescent="0.3">
      <c r="A290">
        <v>277</v>
      </c>
      <c r="B290" s="150"/>
      <c r="C290" s="85"/>
      <c r="D290" s="85"/>
      <c r="E290" s="85"/>
      <c r="F290" s="85"/>
      <c r="G290" s="85"/>
      <c r="H290" s="85"/>
      <c r="I290" s="85"/>
      <c r="J290" s="152" t="str">
        <f t="shared" si="4"/>
        <v/>
      </c>
    </row>
    <row r="291" spans="1:10" x14ac:dyDescent="0.3">
      <c r="A291">
        <v>278</v>
      </c>
      <c r="B291" s="150"/>
      <c r="C291" s="85"/>
      <c r="D291" s="85"/>
      <c r="E291" s="85"/>
      <c r="F291" s="85"/>
      <c r="G291" s="85"/>
      <c r="H291" s="85"/>
      <c r="I291" s="85"/>
      <c r="J291" s="152" t="str">
        <f t="shared" si="4"/>
        <v/>
      </c>
    </row>
    <row r="292" spans="1:10" x14ac:dyDescent="0.3">
      <c r="A292">
        <v>279</v>
      </c>
      <c r="B292" s="150"/>
      <c r="C292" s="85"/>
      <c r="D292" s="85"/>
      <c r="E292" s="85"/>
      <c r="F292" s="85"/>
      <c r="G292" s="85"/>
      <c r="H292" s="85"/>
      <c r="I292" s="85"/>
      <c r="J292" s="152" t="str">
        <f t="shared" si="4"/>
        <v/>
      </c>
    </row>
    <row r="293" spans="1:10" x14ac:dyDescent="0.3">
      <c r="A293">
        <v>280</v>
      </c>
      <c r="B293" s="150"/>
      <c r="C293" s="85"/>
      <c r="D293" s="85"/>
      <c r="E293" s="85"/>
      <c r="F293" s="85"/>
      <c r="G293" s="85"/>
      <c r="H293" s="85"/>
      <c r="I293" s="85"/>
      <c r="J293" s="152" t="str">
        <f t="shared" si="4"/>
        <v/>
      </c>
    </row>
    <row r="294" spans="1:10" x14ac:dyDescent="0.3">
      <c r="A294">
        <v>281</v>
      </c>
      <c r="B294" s="150"/>
      <c r="C294" s="85"/>
      <c r="D294" s="85"/>
      <c r="E294" s="85"/>
      <c r="F294" s="85"/>
      <c r="G294" s="85"/>
      <c r="H294" s="85"/>
      <c r="I294" s="85"/>
      <c r="J294" s="152" t="str">
        <f t="shared" si="4"/>
        <v/>
      </c>
    </row>
    <row r="295" spans="1:10" x14ac:dyDescent="0.3">
      <c r="A295">
        <v>282</v>
      </c>
      <c r="B295" s="150"/>
      <c r="C295" s="85"/>
      <c r="D295" s="85"/>
      <c r="E295" s="85"/>
      <c r="F295" s="85"/>
      <c r="G295" s="85"/>
      <c r="H295" s="85"/>
      <c r="I295" s="85"/>
      <c r="J295" s="152" t="str">
        <f t="shared" si="4"/>
        <v/>
      </c>
    </row>
    <row r="296" spans="1:10" x14ac:dyDescent="0.3">
      <c r="A296">
        <v>283</v>
      </c>
      <c r="B296" s="150"/>
      <c r="C296" s="85"/>
      <c r="D296" s="85"/>
      <c r="E296" s="85"/>
      <c r="F296" s="85"/>
      <c r="G296" s="85"/>
      <c r="H296" s="85"/>
      <c r="I296" s="85"/>
      <c r="J296" s="152" t="str">
        <f t="shared" si="4"/>
        <v/>
      </c>
    </row>
    <row r="297" spans="1:10" x14ac:dyDescent="0.3">
      <c r="A297">
        <v>284</v>
      </c>
      <c r="B297" s="150"/>
      <c r="C297" s="85"/>
      <c r="D297" s="85"/>
      <c r="E297" s="85"/>
      <c r="F297" s="85"/>
      <c r="G297" s="85"/>
      <c r="H297" s="85"/>
      <c r="I297" s="85"/>
      <c r="J297" s="152" t="str">
        <f t="shared" si="4"/>
        <v/>
      </c>
    </row>
    <row r="298" spans="1:10" x14ac:dyDescent="0.3">
      <c r="A298">
        <v>285</v>
      </c>
      <c r="B298" s="150"/>
      <c r="C298" s="85"/>
      <c r="D298" s="85"/>
      <c r="E298" s="85"/>
      <c r="F298" s="85"/>
      <c r="G298" s="85"/>
      <c r="H298" s="85"/>
      <c r="I298" s="85"/>
      <c r="J298" s="152" t="str">
        <f t="shared" si="4"/>
        <v/>
      </c>
    </row>
    <row r="299" spans="1:10" x14ac:dyDescent="0.3">
      <c r="A299">
        <v>286</v>
      </c>
      <c r="B299" s="150"/>
      <c r="C299" s="85"/>
      <c r="D299" s="85"/>
      <c r="E299" s="85"/>
      <c r="F299" s="85"/>
      <c r="G299" s="85"/>
      <c r="H299" s="85"/>
      <c r="I299" s="85"/>
      <c r="J299" s="152" t="str">
        <f t="shared" si="4"/>
        <v/>
      </c>
    </row>
    <row r="300" spans="1:10" x14ac:dyDescent="0.3">
      <c r="A300">
        <v>287</v>
      </c>
      <c r="B300" s="150"/>
      <c r="C300" s="85"/>
      <c r="D300" s="85"/>
      <c r="E300" s="85"/>
      <c r="F300" s="85"/>
      <c r="G300" s="85"/>
      <c r="H300" s="85"/>
      <c r="I300" s="85"/>
      <c r="J300" s="152" t="str">
        <f t="shared" si="4"/>
        <v/>
      </c>
    </row>
    <row r="301" spans="1:10" x14ac:dyDescent="0.3">
      <c r="A301">
        <v>288</v>
      </c>
      <c r="B301" s="150"/>
      <c r="C301" s="85"/>
      <c r="D301" s="85"/>
      <c r="E301" s="85"/>
      <c r="F301" s="85"/>
      <c r="G301" s="85"/>
      <c r="H301" s="85"/>
      <c r="I301" s="85"/>
      <c r="J301" s="152" t="str">
        <f t="shared" si="4"/>
        <v/>
      </c>
    </row>
    <row r="302" spans="1:10" x14ac:dyDescent="0.3">
      <c r="A302">
        <v>289</v>
      </c>
      <c r="B302" s="150"/>
      <c r="C302" s="85"/>
      <c r="D302" s="85"/>
      <c r="E302" s="85"/>
      <c r="F302" s="85"/>
      <c r="G302" s="85"/>
      <c r="H302" s="85"/>
      <c r="I302" s="85"/>
      <c r="J302" s="152" t="str">
        <f t="shared" si="4"/>
        <v/>
      </c>
    </row>
    <row r="303" spans="1:10" x14ac:dyDescent="0.3">
      <c r="A303">
        <v>290</v>
      </c>
      <c r="B303" s="150"/>
      <c r="C303" s="85"/>
      <c r="D303" s="85"/>
      <c r="E303" s="85"/>
      <c r="F303" s="85"/>
      <c r="G303" s="85"/>
      <c r="H303" s="85"/>
      <c r="I303" s="85"/>
      <c r="J303" s="152" t="str">
        <f t="shared" si="4"/>
        <v/>
      </c>
    </row>
    <row r="304" spans="1:10" x14ac:dyDescent="0.3">
      <c r="A304">
        <v>291</v>
      </c>
      <c r="B304" s="150"/>
      <c r="C304" s="85"/>
      <c r="D304" s="85"/>
      <c r="E304" s="85"/>
      <c r="F304" s="85"/>
      <c r="G304" s="85"/>
      <c r="H304" s="85"/>
      <c r="I304" s="85"/>
      <c r="J304" s="152" t="str">
        <f t="shared" si="4"/>
        <v/>
      </c>
    </row>
    <row r="305" spans="1:10" x14ac:dyDescent="0.3">
      <c r="A305">
        <v>292</v>
      </c>
      <c r="B305" s="150"/>
      <c r="C305" s="85"/>
      <c r="D305" s="85"/>
      <c r="E305" s="85"/>
      <c r="F305" s="85"/>
      <c r="G305" s="85"/>
      <c r="H305" s="85"/>
      <c r="I305" s="85"/>
      <c r="J305" s="152" t="str">
        <f t="shared" si="4"/>
        <v/>
      </c>
    </row>
    <row r="306" spans="1:10" x14ac:dyDescent="0.3">
      <c r="A306">
        <v>293</v>
      </c>
      <c r="B306" s="150"/>
      <c r="C306" s="85"/>
      <c r="D306" s="85"/>
      <c r="E306" s="85"/>
      <c r="F306" s="85"/>
      <c r="G306" s="85"/>
      <c r="H306" s="85"/>
      <c r="I306" s="85"/>
      <c r="J306" s="152" t="str">
        <f t="shared" si="4"/>
        <v/>
      </c>
    </row>
    <row r="307" spans="1:10" x14ac:dyDescent="0.3">
      <c r="A307">
        <v>294</v>
      </c>
      <c r="B307" s="150"/>
      <c r="C307" s="85"/>
      <c r="D307" s="85"/>
      <c r="E307" s="85"/>
      <c r="F307" s="85"/>
      <c r="G307" s="85"/>
      <c r="H307" s="85"/>
      <c r="I307" s="85"/>
      <c r="J307" s="152" t="str">
        <f t="shared" si="4"/>
        <v/>
      </c>
    </row>
    <row r="308" spans="1:10" x14ac:dyDescent="0.3">
      <c r="A308">
        <v>295</v>
      </c>
      <c r="B308" s="150"/>
      <c r="C308" s="85"/>
      <c r="D308" s="85"/>
      <c r="E308" s="85"/>
      <c r="F308" s="85"/>
      <c r="G308" s="85"/>
      <c r="H308" s="85"/>
      <c r="I308" s="85"/>
      <c r="J308" s="152" t="str">
        <f t="shared" si="4"/>
        <v/>
      </c>
    </row>
    <row r="309" spans="1:10" x14ac:dyDescent="0.3">
      <c r="A309">
        <v>296</v>
      </c>
      <c r="B309" s="150"/>
      <c r="C309" s="85"/>
      <c r="D309" s="85"/>
      <c r="E309" s="85"/>
      <c r="F309" s="85"/>
      <c r="G309" s="85"/>
      <c r="H309" s="85"/>
      <c r="I309" s="85"/>
      <c r="J309" s="152" t="str">
        <f t="shared" si="4"/>
        <v/>
      </c>
    </row>
    <row r="310" spans="1:10" x14ac:dyDescent="0.3">
      <c r="A310">
        <v>297</v>
      </c>
      <c r="B310" s="150"/>
      <c r="C310" s="85"/>
      <c r="D310" s="85"/>
      <c r="E310" s="85"/>
      <c r="F310" s="85"/>
      <c r="G310" s="85"/>
      <c r="H310" s="85"/>
      <c r="I310" s="85"/>
      <c r="J310" s="152" t="str">
        <f t="shared" si="4"/>
        <v/>
      </c>
    </row>
    <row r="311" spans="1:10" x14ac:dyDescent="0.3">
      <c r="A311">
        <v>298</v>
      </c>
      <c r="B311" s="150"/>
      <c r="C311" s="85"/>
      <c r="D311" s="85"/>
      <c r="E311" s="85"/>
      <c r="F311" s="85"/>
      <c r="G311" s="85"/>
      <c r="H311" s="85"/>
      <c r="I311" s="85"/>
      <c r="J311" s="152" t="str">
        <f t="shared" si="4"/>
        <v/>
      </c>
    </row>
    <row r="312" spans="1:10" x14ac:dyDescent="0.3">
      <c r="A312">
        <v>299</v>
      </c>
      <c r="B312" s="150"/>
      <c r="C312" s="85"/>
      <c r="D312" s="85"/>
      <c r="E312" s="85"/>
      <c r="F312" s="85"/>
      <c r="G312" s="85"/>
      <c r="H312" s="85"/>
      <c r="I312" s="85"/>
      <c r="J312" s="152" t="str">
        <f t="shared" si="4"/>
        <v/>
      </c>
    </row>
    <row r="313" spans="1:10" x14ac:dyDescent="0.3">
      <c r="A313">
        <v>300</v>
      </c>
      <c r="B313" s="150"/>
      <c r="C313" s="85"/>
      <c r="D313" s="85"/>
      <c r="E313" s="85"/>
      <c r="F313" s="85"/>
      <c r="G313" s="85"/>
      <c r="H313" s="85"/>
      <c r="I313" s="85"/>
      <c r="J313" s="152" t="str">
        <f t="shared" si="4"/>
        <v/>
      </c>
    </row>
    <row r="314" spans="1:10" x14ac:dyDescent="0.3">
      <c r="A314">
        <v>301</v>
      </c>
      <c r="B314" s="150"/>
      <c r="C314" s="90"/>
      <c r="D314" s="90"/>
      <c r="E314" s="90"/>
      <c r="F314" s="90"/>
      <c r="G314" s="90"/>
      <c r="H314" s="90"/>
      <c r="I314" s="90"/>
      <c r="J314" s="152" t="str">
        <f t="shared" si="4"/>
        <v/>
      </c>
    </row>
    <row r="315" spans="1:10" x14ac:dyDescent="0.3">
      <c r="A315">
        <v>302</v>
      </c>
      <c r="B315" s="150"/>
      <c r="C315" s="90"/>
      <c r="D315" s="90"/>
      <c r="E315" s="90"/>
      <c r="F315" s="90"/>
      <c r="G315" s="90"/>
      <c r="H315" s="90"/>
      <c r="I315" s="90"/>
      <c r="J315" s="152" t="str">
        <f t="shared" si="4"/>
        <v/>
      </c>
    </row>
    <row r="316" spans="1:10" x14ac:dyDescent="0.3">
      <c r="A316">
        <v>303</v>
      </c>
      <c r="B316" s="150"/>
      <c r="C316" s="90"/>
      <c r="D316" s="90"/>
      <c r="E316" s="90"/>
      <c r="F316" s="90"/>
      <c r="G316" s="90"/>
      <c r="H316" s="90"/>
      <c r="I316" s="90"/>
      <c r="J316" s="152" t="str">
        <f t="shared" si="4"/>
        <v/>
      </c>
    </row>
    <row r="317" spans="1:10" x14ac:dyDescent="0.3">
      <c r="A317">
        <v>304</v>
      </c>
      <c r="B317" s="150"/>
      <c r="C317" s="90"/>
      <c r="D317" s="90"/>
      <c r="E317" s="90"/>
      <c r="F317" s="90"/>
      <c r="G317" s="90"/>
      <c r="H317" s="90"/>
      <c r="I317" s="90"/>
      <c r="J317" s="152" t="str">
        <f t="shared" si="4"/>
        <v/>
      </c>
    </row>
    <row r="318" spans="1:10" x14ac:dyDescent="0.3">
      <c r="A318">
        <v>305</v>
      </c>
      <c r="B318" s="150"/>
      <c r="C318" s="90"/>
      <c r="D318" s="90"/>
      <c r="E318" s="90"/>
      <c r="F318" s="90"/>
      <c r="G318" s="90"/>
      <c r="H318" s="90"/>
      <c r="I318" s="90"/>
      <c r="J318" s="152" t="str">
        <f t="shared" si="4"/>
        <v/>
      </c>
    </row>
    <row r="319" spans="1:10" x14ac:dyDescent="0.3">
      <c r="A319">
        <v>306</v>
      </c>
      <c r="B319" s="150"/>
      <c r="C319" s="90"/>
      <c r="D319" s="90"/>
      <c r="E319" s="90"/>
      <c r="F319" s="90"/>
      <c r="G319" s="90"/>
      <c r="H319" s="90"/>
      <c r="I319" s="90"/>
      <c r="J319" s="152" t="str">
        <f t="shared" si="4"/>
        <v/>
      </c>
    </row>
    <row r="320" spans="1:10" x14ac:dyDescent="0.3">
      <c r="A320">
        <v>307</v>
      </c>
      <c r="B320" s="150"/>
      <c r="C320" s="90"/>
      <c r="D320" s="90"/>
      <c r="E320" s="90"/>
      <c r="F320" s="90"/>
      <c r="G320" s="90"/>
      <c r="H320" s="90"/>
      <c r="I320" s="90"/>
      <c r="J320" s="152" t="str">
        <f t="shared" si="4"/>
        <v/>
      </c>
    </row>
    <row r="321" spans="1:10" x14ac:dyDescent="0.3">
      <c r="A321">
        <v>308</v>
      </c>
      <c r="B321" s="150"/>
      <c r="C321" s="90"/>
      <c r="D321" s="90"/>
      <c r="E321" s="90"/>
      <c r="F321" s="90"/>
      <c r="G321" s="90"/>
      <c r="H321" s="90"/>
      <c r="I321" s="90"/>
      <c r="J321" s="152" t="str">
        <f t="shared" si="4"/>
        <v/>
      </c>
    </row>
    <row r="322" spans="1:10" x14ac:dyDescent="0.3">
      <c r="A322">
        <v>309</v>
      </c>
      <c r="B322" s="150"/>
      <c r="C322" s="90"/>
      <c r="D322" s="90"/>
      <c r="E322" s="90"/>
      <c r="F322" s="90"/>
      <c r="G322" s="90"/>
      <c r="H322" s="90"/>
      <c r="I322" s="90"/>
      <c r="J322" s="152" t="str">
        <f t="shared" si="4"/>
        <v/>
      </c>
    </row>
    <row r="323" spans="1:10" x14ac:dyDescent="0.3">
      <c r="A323">
        <v>310</v>
      </c>
      <c r="B323" s="150"/>
      <c r="C323" s="90"/>
      <c r="D323" s="90"/>
      <c r="E323" s="90"/>
      <c r="F323" s="90"/>
      <c r="G323" s="90"/>
      <c r="H323" s="90"/>
      <c r="I323" s="90"/>
      <c r="J323" s="152" t="str">
        <f t="shared" si="4"/>
        <v/>
      </c>
    </row>
    <row r="324" spans="1:10" x14ac:dyDescent="0.3">
      <c r="A324">
        <v>311</v>
      </c>
      <c r="B324" s="150"/>
      <c r="C324" s="90"/>
      <c r="D324" s="90"/>
      <c r="E324" s="90"/>
      <c r="F324" s="90"/>
      <c r="G324" s="90"/>
      <c r="H324" s="90"/>
      <c r="I324" s="90"/>
      <c r="J324" s="152" t="str">
        <f t="shared" si="4"/>
        <v/>
      </c>
    </row>
    <row r="325" spans="1:10" x14ac:dyDescent="0.3">
      <c r="A325">
        <v>312</v>
      </c>
      <c r="B325" s="150"/>
      <c r="C325" s="90"/>
      <c r="D325" s="90"/>
      <c r="E325" s="90"/>
      <c r="F325" s="90"/>
      <c r="G325" s="90"/>
      <c r="H325" s="90"/>
      <c r="I325" s="90"/>
      <c r="J325" s="152" t="str">
        <f t="shared" si="4"/>
        <v/>
      </c>
    </row>
    <row r="326" spans="1:10" x14ac:dyDescent="0.3">
      <c r="A326">
        <v>313</v>
      </c>
      <c r="B326" s="150"/>
      <c r="C326" s="90"/>
      <c r="D326" s="90"/>
      <c r="E326" s="90"/>
      <c r="F326" s="90"/>
      <c r="G326" s="90"/>
      <c r="H326" s="90"/>
      <c r="I326" s="90"/>
      <c r="J326" s="152" t="str">
        <f t="shared" si="4"/>
        <v/>
      </c>
    </row>
    <row r="327" spans="1:10" x14ac:dyDescent="0.3">
      <c r="A327">
        <v>314</v>
      </c>
      <c r="B327" s="150"/>
      <c r="C327" s="90"/>
      <c r="D327" s="90"/>
      <c r="E327" s="90"/>
      <c r="F327" s="90"/>
      <c r="G327" s="90"/>
      <c r="H327" s="90"/>
      <c r="I327" s="90"/>
      <c r="J327" s="152" t="str">
        <f t="shared" si="4"/>
        <v/>
      </c>
    </row>
    <row r="328" spans="1:10" x14ac:dyDescent="0.3">
      <c r="A328">
        <v>315</v>
      </c>
      <c r="B328" s="150"/>
      <c r="C328" s="90"/>
      <c r="D328" s="90"/>
      <c r="E328" s="90"/>
      <c r="F328" s="90"/>
      <c r="G328" s="90"/>
      <c r="H328" s="90"/>
      <c r="I328" s="90"/>
      <c r="J328" s="152" t="str">
        <f t="shared" si="4"/>
        <v/>
      </c>
    </row>
    <row r="329" spans="1:10" x14ac:dyDescent="0.3">
      <c r="A329">
        <v>316</v>
      </c>
      <c r="B329" s="150"/>
      <c r="C329" s="90"/>
      <c r="D329" s="90"/>
      <c r="E329" s="90"/>
      <c r="F329" s="90"/>
      <c r="G329" s="90"/>
      <c r="H329" s="90"/>
      <c r="I329" s="90"/>
      <c r="J329" s="152" t="str">
        <f t="shared" si="4"/>
        <v/>
      </c>
    </row>
    <row r="330" spans="1:10" x14ac:dyDescent="0.3">
      <c r="A330">
        <v>317</v>
      </c>
      <c r="B330" s="150"/>
      <c r="C330" s="90"/>
      <c r="D330" s="90"/>
      <c r="E330" s="90"/>
      <c r="F330" s="90"/>
      <c r="G330" s="90"/>
      <c r="H330" s="90"/>
      <c r="I330" s="90"/>
      <c r="J330" s="152" t="str">
        <f t="shared" si="4"/>
        <v/>
      </c>
    </row>
    <row r="331" spans="1:10" x14ac:dyDescent="0.3">
      <c r="A331">
        <v>318</v>
      </c>
      <c r="B331" s="150"/>
      <c r="C331" s="90"/>
      <c r="D331" s="90"/>
      <c r="E331" s="90"/>
      <c r="F331" s="90"/>
      <c r="G331" s="90"/>
      <c r="H331" s="90"/>
      <c r="I331" s="90"/>
      <c r="J331" s="152" t="str">
        <f t="shared" si="4"/>
        <v/>
      </c>
    </row>
    <row r="332" spans="1:10" x14ac:dyDescent="0.3">
      <c r="A332">
        <v>319</v>
      </c>
      <c r="B332" s="150"/>
      <c r="C332" s="90"/>
      <c r="D332" s="90"/>
      <c r="E332" s="90"/>
      <c r="F332" s="90"/>
      <c r="G332" s="90"/>
      <c r="H332" s="90"/>
      <c r="I332" s="90"/>
      <c r="J332" s="152" t="str">
        <f t="shared" si="4"/>
        <v/>
      </c>
    </row>
    <row r="333" spans="1:10" x14ac:dyDescent="0.3">
      <c r="A333">
        <v>320</v>
      </c>
      <c r="B333" s="150"/>
      <c r="C333" s="90"/>
      <c r="D333" s="90"/>
      <c r="E333" s="90"/>
      <c r="F333" s="90"/>
      <c r="G333" s="90"/>
      <c r="H333" s="90"/>
      <c r="I333" s="90"/>
      <c r="J333" s="152" t="str">
        <f t="shared" si="4"/>
        <v/>
      </c>
    </row>
    <row r="334" spans="1:10" x14ac:dyDescent="0.3">
      <c r="A334">
        <v>321</v>
      </c>
      <c r="B334" s="150"/>
      <c r="C334" s="90"/>
      <c r="D334" s="90"/>
      <c r="E334" s="90"/>
      <c r="F334" s="90"/>
      <c r="G334" s="90"/>
      <c r="H334" s="90"/>
      <c r="I334" s="90"/>
      <c r="J334" s="152" t="str">
        <f t="shared" si="4"/>
        <v/>
      </c>
    </row>
    <row r="335" spans="1:10" x14ac:dyDescent="0.3">
      <c r="A335">
        <v>322</v>
      </c>
      <c r="B335" s="150"/>
      <c r="C335" s="90"/>
      <c r="D335" s="90"/>
      <c r="E335" s="90"/>
      <c r="F335" s="90"/>
      <c r="G335" s="90"/>
      <c r="H335" s="90"/>
      <c r="I335" s="90"/>
      <c r="J335" s="152" t="str">
        <f t="shared" ref="J335:J373" si="5">IF(B335&lt;&gt;"",SUM(C335:I335),"")</f>
        <v/>
      </c>
    </row>
    <row r="336" spans="1:10" x14ac:dyDescent="0.3">
      <c r="A336">
        <v>323</v>
      </c>
      <c r="B336" s="150"/>
      <c r="C336" s="90"/>
      <c r="D336" s="90"/>
      <c r="E336" s="90"/>
      <c r="F336" s="90"/>
      <c r="G336" s="90"/>
      <c r="H336" s="90"/>
      <c r="I336" s="90"/>
      <c r="J336" s="152" t="str">
        <f t="shared" si="5"/>
        <v/>
      </c>
    </row>
    <row r="337" spans="1:10" x14ac:dyDescent="0.3">
      <c r="A337">
        <v>324</v>
      </c>
      <c r="B337" s="150"/>
      <c r="C337" s="90"/>
      <c r="D337" s="90"/>
      <c r="E337" s="90"/>
      <c r="F337" s="90"/>
      <c r="G337" s="90"/>
      <c r="H337" s="90"/>
      <c r="I337" s="90"/>
      <c r="J337" s="152" t="str">
        <f t="shared" si="5"/>
        <v/>
      </c>
    </row>
    <row r="338" spans="1:10" x14ac:dyDescent="0.3">
      <c r="A338">
        <v>325</v>
      </c>
      <c r="B338" s="150"/>
      <c r="C338" s="90"/>
      <c r="D338" s="90"/>
      <c r="E338" s="90"/>
      <c r="F338" s="90"/>
      <c r="G338" s="90"/>
      <c r="H338" s="90"/>
      <c r="I338" s="90"/>
      <c r="J338" s="152" t="str">
        <f t="shared" si="5"/>
        <v/>
      </c>
    </row>
    <row r="339" spans="1:10" x14ac:dyDescent="0.3">
      <c r="A339">
        <v>326</v>
      </c>
      <c r="B339" s="150"/>
      <c r="C339" s="90"/>
      <c r="D339" s="90"/>
      <c r="E339" s="90"/>
      <c r="F339" s="90"/>
      <c r="G339" s="90"/>
      <c r="H339" s="90"/>
      <c r="I339" s="90"/>
      <c r="J339" s="152" t="str">
        <f t="shared" si="5"/>
        <v/>
      </c>
    </row>
    <row r="340" spans="1:10" x14ac:dyDescent="0.3">
      <c r="A340">
        <v>327</v>
      </c>
      <c r="B340" s="150"/>
      <c r="C340" s="90"/>
      <c r="D340" s="90"/>
      <c r="E340" s="90"/>
      <c r="F340" s="90"/>
      <c r="G340" s="90"/>
      <c r="H340" s="90"/>
      <c r="I340" s="90"/>
      <c r="J340" s="152" t="str">
        <f t="shared" si="5"/>
        <v/>
      </c>
    </row>
    <row r="341" spans="1:10" x14ac:dyDescent="0.3">
      <c r="A341">
        <v>328</v>
      </c>
      <c r="B341" s="150"/>
      <c r="C341" s="90"/>
      <c r="D341" s="90"/>
      <c r="E341" s="90"/>
      <c r="F341" s="90"/>
      <c r="G341" s="90"/>
      <c r="H341" s="90"/>
      <c r="I341" s="90"/>
      <c r="J341" s="152" t="str">
        <f t="shared" si="5"/>
        <v/>
      </c>
    </row>
    <row r="342" spans="1:10" x14ac:dyDescent="0.3">
      <c r="A342">
        <v>329</v>
      </c>
      <c r="B342" s="150"/>
      <c r="C342" s="90"/>
      <c r="D342" s="90"/>
      <c r="E342" s="90"/>
      <c r="F342" s="90"/>
      <c r="G342" s="90"/>
      <c r="H342" s="90"/>
      <c r="I342" s="90"/>
      <c r="J342" s="152" t="str">
        <f t="shared" si="5"/>
        <v/>
      </c>
    </row>
    <row r="343" spans="1:10" x14ac:dyDescent="0.3">
      <c r="A343">
        <v>330</v>
      </c>
      <c r="B343" s="150"/>
      <c r="C343" s="90"/>
      <c r="D343" s="90"/>
      <c r="E343" s="90"/>
      <c r="F343" s="90"/>
      <c r="G343" s="90"/>
      <c r="H343" s="90"/>
      <c r="I343" s="90"/>
      <c r="J343" s="152" t="str">
        <f t="shared" si="5"/>
        <v/>
      </c>
    </row>
    <row r="344" spans="1:10" x14ac:dyDescent="0.3">
      <c r="A344">
        <v>331</v>
      </c>
      <c r="B344" s="150"/>
      <c r="C344" s="90"/>
      <c r="D344" s="90"/>
      <c r="E344" s="90"/>
      <c r="F344" s="90"/>
      <c r="G344" s="90"/>
      <c r="H344" s="90"/>
      <c r="I344" s="90"/>
      <c r="J344" s="152" t="str">
        <f t="shared" si="5"/>
        <v/>
      </c>
    </row>
    <row r="345" spans="1:10" x14ac:dyDescent="0.3">
      <c r="A345">
        <v>332</v>
      </c>
      <c r="B345" s="150"/>
      <c r="C345" s="90"/>
      <c r="D345" s="90"/>
      <c r="E345" s="90"/>
      <c r="F345" s="90"/>
      <c r="G345" s="90"/>
      <c r="H345" s="90"/>
      <c r="I345" s="90"/>
      <c r="J345" s="152" t="str">
        <f t="shared" si="5"/>
        <v/>
      </c>
    </row>
    <row r="346" spans="1:10" x14ac:dyDescent="0.3">
      <c r="A346">
        <v>333</v>
      </c>
      <c r="B346" s="150"/>
      <c r="C346" s="90"/>
      <c r="D346" s="90"/>
      <c r="E346" s="90"/>
      <c r="F346" s="90"/>
      <c r="G346" s="90"/>
      <c r="H346" s="90"/>
      <c r="I346" s="90"/>
      <c r="J346" s="152" t="str">
        <f t="shared" si="5"/>
        <v/>
      </c>
    </row>
    <row r="347" spans="1:10" x14ac:dyDescent="0.3">
      <c r="A347">
        <v>334</v>
      </c>
      <c r="B347" s="150"/>
      <c r="C347" s="90"/>
      <c r="D347" s="90"/>
      <c r="E347" s="90"/>
      <c r="F347" s="90"/>
      <c r="G347" s="90"/>
      <c r="H347" s="90"/>
      <c r="I347" s="90"/>
      <c r="J347" s="152" t="str">
        <f t="shared" si="5"/>
        <v/>
      </c>
    </row>
    <row r="348" spans="1:10" x14ac:dyDescent="0.3">
      <c r="A348">
        <v>335</v>
      </c>
      <c r="B348" s="150"/>
      <c r="C348" s="90"/>
      <c r="D348" s="90"/>
      <c r="E348" s="90"/>
      <c r="F348" s="90"/>
      <c r="G348" s="90"/>
      <c r="H348" s="90"/>
      <c r="I348" s="90"/>
      <c r="J348" s="152" t="str">
        <f t="shared" si="5"/>
        <v/>
      </c>
    </row>
    <row r="349" spans="1:10" x14ac:dyDescent="0.3">
      <c r="A349">
        <v>336</v>
      </c>
      <c r="B349" s="150"/>
      <c r="C349" s="90"/>
      <c r="D349" s="90"/>
      <c r="E349" s="90"/>
      <c r="F349" s="90"/>
      <c r="G349" s="90"/>
      <c r="H349" s="90"/>
      <c r="I349" s="90"/>
      <c r="J349" s="152" t="str">
        <f t="shared" si="5"/>
        <v/>
      </c>
    </row>
    <row r="350" spans="1:10" x14ac:dyDescent="0.3">
      <c r="A350">
        <v>337</v>
      </c>
      <c r="B350" s="150"/>
      <c r="C350" s="90"/>
      <c r="D350" s="90"/>
      <c r="E350" s="90"/>
      <c r="F350" s="90"/>
      <c r="G350" s="90"/>
      <c r="H350" s="90"/>
      <c r="I350" s="90"/>
      <c r="J350" s="152" t="str">
        <f t="shared" si="5"/>
        <v/>
      </c>
    </row>
    <row r="351" spans="1:10" x14ac:dyDescent="0.3">
      <c r="A351">
        <v>338</v>
      </c>
      <c r="B351" s="150"/>
      <c r="C351" s="90"/>
      <c r="D351" s="90"/>
      <c r="E351" s="90"/>
      <c r="F351" s="90"/>
      <c r="G351" s="90"/>
      <c r="H351" s="90"/>
      <c r="I351" s="90"/>
      <c r="J351" s="152" t="str">
        <f t="shared" si="5"/>
        <v/>
      </c>
    </row>
    <row r="352" spans="1:10" x14ac:dyDescent="0.3">
      <c r="A352">
        <v>339</v>
      </c>
      <c r="B352" s="150"/>
      <c r="C352" s="90"/>
      <c r="D352" s="90"/>
      <c r="E352" s="90"/>
      <c r="F352" s="90"/>
      <c r="G352" s="90"/>
      <c r="H352" s="90"/>
      <c r="I352" s="90"/>
      <c r="J352" s="152" t="str">
        <f t="shared" si="5"/>
        <v/>
      </c>
    </row>
    <row r="353" spans="1:10" x14ac:dyDescent="0.3">
      <c r="A353">
        <v>340</v>
      </c>
      <c r="B353" s="150"/>
      <c r="C353" s="90"/>
      <c r="D353" s="90"/>
      <c r="E353" s="90"/>
      <c r="F353" s="90"/>
      <c r="G353" s="90"/>
      <c r="H353" s="90"/>
      <c r="I353" s="90"/>
      <c r="J353" s="152" t="str">
        <f t="shared" si="5"/>
        <v/>
      </c>
    </row>
    <row r="354" spans="1:10" x14ac:dyDescent="0.3">
      <c r="A354">
        <v>341</v>
      </c>
      <c r="B354" s="150"/>
      <c r="C354" s="90"/>
      <c r="D354" s="90"/>
      <c r="E354" s="90"/>
      <c r="F354" s="90"/>
      <c r="G354" s="90"/>
      <c r="H354" s="90"/>
      <c r="I354" s="90"/>
      <c r="J354" s="152" t="str">
        <f t="shared" si="5"/>
        <v/>
      </c>
    </row>
    <row r="355" spans="1:10" x14ac:dyDescent="0.3">
      <c r="A355">
        <v>342</v>
      </c>
      <c r="B355" s="150"/>
      <c r="C355" s="90"/>
      <c r="D355" s="90"/>
      <c r="E355" s="90"/>
      <c r="F355" s="90"/>
      <c r="G355" s="90"/>
      <c r="H355" s="90"/>
      <c r="I355" s="90"/>
      <c r="J355" s="152" t="str">
        <f t="shared" si="5"/>
        <v/>
      </c>
    </row>
    <row r="356" spans="1:10" x14ac:dyDescent="0.3">
      <c r="A356">
        <v>343</v>
      </c>
      <c r="B356" s="150"/>
      <c r="C356" s="90"/>
      <c r="D356" s="90"/>
      <c r="E356" s="90"/>
      <c r="F356" s="90"/>
      <c r="G356" s="90"/>
      <c r="H356" s="90"/>
      <c r="I356" s="90"/>
      <c r="J356" s="152" t="str">
        <f t="shared" si="5"/>
        <v/>
      </c>
    </row>
    <row r="357" spans="1:10" x14ac:dyDescent="0.3">
      <c r="A357">
        <v>344</v>
      </c>
      <c r="B357" s="150"/>
      <c r="C357" s="90"/>
      <c r="D357" s="90"/>
      <c r="E357" s="90"/>
      <c r="F357" s="90"/>
      <c r="G357" s="90"/>
      <c r="H357" s="90"/>
      <c r="I357" s="90"/>
      <c r="J357" s="152" t="str">
        <f t="shared" si="5"/>
        <v/>
      </c>
    </row>
    <row r="358" spans="1:10" x14ac:dyDescent="0.3">
      <c r="A358">
        <v>345</v>
      </c>
      <c r="B358" s="150"/>
      <c r="C358" s="90"/>
      <c r="D358" s="90"/>
      <c r="E358" s="90"/>
      <c r="F358" s="90"/>
      <c r="G358" s="90"/>
      <c r="H358" s="90"/>
      <c r="I358" s="90"/>
      <c r="J358" s="152" t="str">
        <f t="shared" si="5"/>
        <v/>
      </c>
    </row>
    <row r="359" spans="1:10" x14ac:dyDescent="0.3">
      <c r="A359">
        <v>346</v>
      </c>
      <c r="B359" s="150"/>
      <c r="C359" s="90"/>
      <c r="D359" s="90"/>
      <c r="E359" s="90"/>
      <c r="F359" s="90"/>
      <c r="G359" s="90"/>
      <c r="H359" s="90"/>
      <c r="I359" s="90"/>
      <c r="J359" s="152" t="str">
        <f t="shared" si="5"/>
        <v/>
      </c>
    </row>
    <row r="360" spans="1:10" x14ac:dyDescent="0.3">
      <c r="A360">
        <v>347</v>
      </c>
      <c r="B360" s="150"/>
      <c r="C360" s="90"/>
      <c r="D360" s="90"/>
      <c r="E360" s="90"/>
      <c r="F360" s="90"/>
      <c r="G360" s="90"/>
      <c r="H360" s="90"/>
      <c r="I360" s="90"/>
      <c r="J360" s="152" t="str">
        <f t="shared" si="5"/>
        <v/>
      </c>
    </row>
    <row r="361" spans="1:10" x14ac:dyDescent="0.3">
      <c r="A361">
        <v>348</v>
      </c>
      <c r="B361" s="150"/>
      <c r="C361" s="90"/>
      <c r="D361" s="90"/>
      <c r="E361" s="90"/>
      <c r="F361" s="90"/>
      <c r="G361" s="90"/>
      <c r="H361" s="90"/>
      <c r="I361" s="90"/>
      <c r="J361" s="152" t="str">
        <f t="shared" si="5"/>
        <v/>
      </c>
    </row>
    <row r="362" spans="1:10" x14ac:dyDescent="0.3">
      <c r="A362">
        <v>349</v>
      </c>
      <c r="B362" s="150"/>
      <c r="C362" s="90"/>
      <c r="D362" s="90"/>
      <c r="E362" s="90"/>
      <c r="F362" s="90"/>
      <c r="G362" s="90"/>
      <c r="H362" s="90"/>
      <c r="I362" s="90"/>
      <c r="J362" s="152" t="str">
        <f t="shared" si="5"/>
        <v/>
      </c>
    </row>
    <row r="363" spans="1:10" x14ac:dyDescent="0.3">
      <c r="A363">
        <v>350</v>
      </c>
      <c r="B363" s="150"/>
      <c r="C363" s="90"/>
      <c r="D363" s="90"/>
      <c r="E363" s="90"/>
      <c r="F363" s="90"/>
      <c r="G363" s="90"/>
      <c r="H363" s="90"/>
      <c r="I363" s="90"/>
      <c r="J363" s="152" t="str">
        <f t="shared" si="5"/>
        <v/>
      </c>
    </row>
    <row r="364" spans="1:10" x14ac:dyDescent="0.3">
      <c r="A364">
        <v>351</v>
      </c>
      <c r="B364" s="150"/>
      <c r="C364" s="90"/>
      <c r="D364" s="90"/>
      <c r="E364" s="90"/>
      <c r="F364" s="90"/>
      <c r="G364" s="90"/>
      <c r="H364" s="90"/>
      <c r="I364" s="90"/>
      <c r="J364" s="152" t="str">
        <f t="shared" si="5"/>
        <v/>
      </c>
    </row>
    <row r="365" spans="1:10" x14ac:dyDescent="0.3">
      <c r="A365">
        <v>352</v>
      </c>
      <c r="B365" s="150"/>
      <c r="C365" s="90"/>
      <c r="D365" s="90"/>
      <c r="E365" s="90"/>
      <c r="F365" s="90"/>
      <c r="G365" s="90"/>
      <c r="H365" s="90"/>
      <c r="I365" s="90"/>
      <c r="J365" s="152" t="str">
        <f t="shared" si="5"/>
        <v/>
      </c>
    </row>
    <row r="366" spans="1:10" x14ac:dyDescent="0.3">
      <c r="A366">
        <v>353</v>
      </c>
      <c r="B366" s="150"/>
      <c r="C366" s="90"/>
      <c r="D366" s="90"/>
      <c r="E366" s="90"/>
      <c r="F366" s="90"/>
      <c r="G366" s="90"/>
      <c r="H366" s="90"/>
      <c r="I366" s="90"/>
      <c r="J366" s="152" t="str">
        <f t="shared" si="5"/>
        <v/>
      </c>
    </row>
    <row r="367" spans="1:10" x14ac:dyDescent="0.3">
      <c r="A367">
        <v>354</v>
      </c>
      <c r="B367" s="150"/>
      <c r="C367" s="90"/>
      <c r="D367" s="90"/>
      <c r="E367" s="90"/>
      <c r="F367" s="90"/>
      <c r="G367" s="90"/>
      <c r="H367" s="90"/>
      <c r="I367" s="90"/>
      <c r="J367" s="152" t="str">
        <f t="shared" si="5"/>
        <v/>
      </c>
    </row>
    <row r="368" spans="1:10" x14ac:dyDescent="0.3">
      <c r="A368">
        <v>355</v>
      </c>
      <c r="B368" s="150"/>
      <c r="C368" s="90"/>
      <c r="D368" s="90"/>
      <c r="E368" s="90"/>
      <c r="F368" s="90"/>
      <c r="G368" s="90"/>
      <c r="H368" s="90"/>
      <c r="I368" s="90"/>
      <c r="J368" s="152" t="str">
        <f t="shared" si="5"/>
        <v/>
      </c>
    </row>
    <row r="369" spans="1:10" x14ac:dyDescent="0.3">
      <c r="A369">
        <v>356</v>
      </c>
      <c r="B369" s="150"/>
      <c r="C369" s="90"/>
      <c r="D369" s="90"/>
      <c r="E369" s="90"/>
      <c r="F369" s="90"/>
      <c r="G369" s="90"/>
      <c r="H369" s="90"/>
      <c r="I369" s="90"/>
      <c r="J369" s="152" t="str">
        <f t="shared" si="5"/>
        <v/>
      </c>
    </row>
    <row r="370" spans="1:10" x14ac:dyDescent="0.3">
      <c r="A370">
        <v>357</v>
      </c>
      <c r="B370" s="150"/>
      <c r="C370" s="90"/>
      <c r="D370" s="90"/>
      <c r="E370" s="90"/>
      <c r="F370" s="90"/>
      <c r="G370" s="90"/>
      <c r="H370" s="90"/>
      <c r="I370" s="90"/>
      <c r="J370" s="152" t="str">
        <f t="shared" si="5"/>
        <v/>
      </c>
    </row>
    <row r="371" spans="1:10" x14ac:dyDescent="0.3">
      <c r="A371">
        <v>358</v>
      </c>
      <c r="B371" s="150"/>
      <c r="C371" s="90"/>
      <c r="D371" s="90"/>
      <c r="E371" s="90"/>
      <c r="F371" s="90"/>
      <c r="G371" s="90"/>
      <c r="H371" s="90"/>
      <c r="I371" s="90"/>
      <c r="J371" s="152" t="str">
        <f t="shared" si="5"/>
        <v/>
      </c>
    </row>
    <row r="372" spans="1:10" x14ac:dyDescent="0.3">
      <c r="A372">
        <v>359</v>
      </c>
      <c r="B372" s="150"/>
      <c r="C372" s="90"/>
      <c r="D372" s="90"/>
      <c r="E372" s="90"/>
      <c r="F372" s="90"/>
      <c r="G372" s="90"/>
      <c r="H372" s="90"/>
      <c r="I372" s="90"/>
      <c r="J372" s="152" t="str">
        <f t="shared" si="5"/>
        <v/>
      </c>
    </row>
    <row r="373" spans="1:10" x14ac:dyDescent="0.3">
      <c r="A373">
        <v>360</v>
      </c>
      <c r="B373" s="150"/>
      <c r="C373" s="90"/>
      <c r="D373" s="90"/>
      <c r="E373" s="90"/>
      <c r="F373" s="90"/>
      <c r="G373" s="90"/>
      <c r="H373" s="90"/>
      <c r="I373" s="90"/>
      <c r="J373" s="152" t="str">
        <f t="shared" si="5"/>
        <v/>
      </c>
    </row>
  </sheetData>
  <mergeCells count="5">
    <mergeCell ref="C3:F3"/>
    <mergeCell ref="C4:F4"/>
    <mergeCell ref="C5:F5"/>
    <mergeCell ref="L14:O18"/>
    <mergeCell ref="B1:J1"/>
  </mergeCells>
  <dataValidations disablePrompts="1" count="1">
    <dataValidation type="decimal" operator="greaterThanOrEqual" allowBlank="1" showInputMessage="1" showErrorMessage="1" sqref="C14:I373 C8:C9" xr:uid="{311CBB4C-2686-46C2-84EC-DD9D264A0E73}">
      <formula1>0</formula1>
    </dataValidation>
  </dataValidation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C3:P28"/>
  <sheetViews>
    <sheetView showGridLines="0" topLeftCell="B1" zoomScale="145" zoomScaleNormal="145" workbookViewId="0">
      <selection activeCell="C28" sqref="C28:N28"/>
    </sheetView>
  </sheetViews>
  <sheetFormatPr defaultColWidth="8.88671875" defaultRowHeight="18" x14ac:dyDescent="0.5"/>
  <cols>
    <col min="1" max="3" width="8.88671875" style="134"/>
    <col min="4" max="4" width="19" style="134" bestFit="1" customWidth="1"/>
    <col min="5" max="16384" width="8.88671875" style="134"/>
  </cols>
  <sheetData>
    <row r="3" spans="4:16" x14ac:dyDescent="0.5">
      <c r="D3" s="219" t="s">
        <v>100</v>
      </c>
      <c r="E3" s="219"/>
      <c r="F3" s="219"/>
      <c r="G3" s="219"/>
      <c r="H3" s="219"/>
      <c r="I3" s="219"/>
      <c r="J3" s="219"/>
      <c r="K3" s="219"/>
      <c r="L3" s="219"/>
      <c r="M3" s="219"/>
      <c r="N3" s="219"/>
      <c r="P3" s="135"/>
    </row>
    <row r="4" spans="4:16" ht="22.2" customHeight="1" x14ac:dyDescent="0.5">
      <c r="D4" s="220" t="s">
        <v>101</v>
      </c>
      <c r="E4" s="223" t="s">
        <v>119</v>
      </c>
      <c r="F4" s="223"/>
      <c r="G4" s="223"/>
      <c r="H4" s="223"/>
      <c r="I4" s="223"/>
      <c r="J4" s="223"/>
      <c r="K4" s="223"/>
      <c r="L4" s="223"/>
      <c r="M4" s="223"/>
      <c r="N4" s="223"/>
    </row>
    <row r="5" spans="4:16" ht="22.2" customHeight="1" x14ac:dyDescent="0.5">
      <c r="D5" s="221"/>
      <c r="E5" s="223"/>
      <c r="F5" s="223"/>
      <c r="G5" s="223"/>
      <c r="H5" s="223"/>
      <c r="I5" s="223"/>
      <c r="J5" s="223"/>
      <c r="K5" s="223"/>
      <c r="L5" s="223"/>
      <c r="M5" s="223"/>
      <c r="N5" s="223"/>
    </row>
    <row r="6" spans="4:16" ht="73.2" customHeight="1" x14ac:dyDescent="0.5">
      <c r="D6" s="136" t="s">
        <v>102</v>
      </c>
      <c r="E6" s="216"/>
      <c r="F6" s="217"/>
      <c r="G6" s="217"/>
      <c r="H6" s="217"/>
      <c r="I6" s="217"/>
      <c r="J6" s="217"/>
      <c r="K6" s="217"/>
      <c r="L6" s="217"/>
      <c r="M6" s="217"/>
      <c r="N6" s="218"/>
    </row>
    <row r="7" spans="4:16" x14ac:dyDescent="0.5">
      <c r="D7" s="137" t="s">
        <v>7</v>
      </c>
      <c r="E7" s="212">
        <v>4.3299999999999998E-2</v>
      </c>
      <c r="F7" s="213"/>
      <c r="G7" s="213"/>
      <c r="H7" s="213"/>
      <c r="I7" s="213"/>
      <c r="J7" s="213"/>
      <c r="K7" s="213"/>
      <c r="L7" s="213"/>
      <c r="M7" s="213"/>
      <c r="N7" s="214"/>
    </row>
    <row r="10" spans="4:16" x14ac:dyDescent="0.5">
      <c r="D10" s="219" t="s">
        <v>103</v>
      </c>
      <c r="E10" s="219"/>
      <c r="F10" s="219"/>
      <c r="G10" s="219"/>
      <c r="H10" s="219"/>
      <c r="I10" s="219"/>
      <c r="J10" s="219"/>
      <c r="K10" s="219"/>
      <c r="L10" s="219"/>
      <c r="M10" s="219"/>
      <c r="N10" s="219"/>
    </row>
    <row r="11" spans="4:16" ht="36.6" customHeight="1" x14ac:dyDescent="0.5">
      <c r="D11" s="220" t="s">
        <v>101</v>
      </c>
      <c r="E11" s="223" t="s">
        <v>120</v>
      </c>
      <c r="F11" s="223"/>
      <c r="G11" s="223"/>
      <c r="H11" s="223"/>
      <c r="I11" s="223"/>
      <c r="J11" s="223"/>
      <c r="K11" s="223"/>
      <c r="L11" s="223"/>
      <c r="M11" s="223"/>
      <c r="N11" s="223"/>
    </row>
    <row r="12" spans="4:16" ht="36.6" customHeight="1" x14ac:dyDescent="0.5">
      <c r="D12" s="221"/>
      <c r="E12" s="223"/>
      <c r="F12" s="223"/>
      <c r="G12" s="223"/>
      <c r="H12" s="223"/>
      <c r="I12" s="223"/>
      <c r="J12" s="223"/>
      <c r="K12" s="223"/>
      <c r="L12" s="223"/>
      <c r="M12" s="223"/>
      <c r="N12" s="223"/>
    </row>
    <row r="13" spans="4:16" ht="59.4" customHeight="1" x14ac:dyDescent="0.5">
      <c r="D13" s="136" t="s">
        <v>102</v>
      </c>
      <c r="E13" s="216"/>
      <c r="F13" s="217"/>
      <c r="G13" s="217"/>
      <c r="H13" s="217"/>
      <c r="I13" s="217"/>
      <c r="J13" s="217"/>
      <c r="K13" s="217"/>
      <c r="L13" s="217"/>
      <c r="M13" s="217"/>
      <c r="N13" s="218"/>
    </row>
    <row r="14" spans="4:16" x14ac:dyDescent="0.5">
      <c r="D14" s="137" t="s">
        <v>7</v>
      </c>
      <c r="E14" s="212">
        <v>0.1003</v>
      </c>
      <c r="F14" s="213"/>
      <c r="G14" s="213"/>
      <c r="H14" s="213"/>
      <c r="I14" s="213"/>
      <c r="J14" s="213"/>
      <c r="K14" s="213"/>
      <c r="L14" s="213"/>
      <c r="M14" s="213"/>
      <c r="N14" s="214"/>
    </row>
    <row r="16" spans="4:16" x14ac:dyDescent="0.5">
      <c r="D16" s="219" t="s">
        <v>104</v>
      </c>
      <c r="E16" s="219"/>
      <c r="F16" s="219"/>
      <c r="G16" s="219"/>
      <c r="H16" s="219"/>
      <c r="I16" s="219"/>
      <c r="J16" s="219"/>
      <c r="K16" s="219"/>
      <c r="L16" s="219"/>
      <c r="M16" s="219"/>
      <c r="N16" s="219"/>
    </row>
    <row r="17" spans="3:14" ht="33" customHeight="1" x14ac:dyDescent="0.5">
      <c r="D17" s="220" t="s">
        <v>101</v>
      </c>
      <c r="E17" s="223" t="s">
        <v>122</v>
      </c>
      <c r="F17" s="223"/>
      <c r="G17" s="223"/>
      <c r="H17" s="223"/>
      <c r="I17" s="223"/>
      <c r="J17" s="223"/>
      <c r="K17" s="223"/>
      <c r="L17" s="223"/>
      <c r="M17" s="223"/>
      <c r="N17" s="223"/>
    </row>
    <row r="18" spans="3:14" ht="33" customHeight="1" x14ac:dyDescent="0.5">
      <c r="D18" s="221"/>
      <c r="E18" s="223"/>
      <c r="F18" s="223"/>
      <c r="G18" s="223"/>
      <c r="H18" s="223"/>
      <c r="I18" s="223"/>
      <c r="J18" s="223"/>
      <c r="K18" s="223"/>
      <c r="L18" s="223"/>
      <c r="M18" s="223"/>
      <c r="N18" s="223"/>
    </row>
    <row r="19" spans="3:14" ht="48" customHeight="1" x14ac:dyDescent="0.5">
      <c r="D19" s="136" t="s">
        <v>102</v>
      </c>
      <c r="E19" s="216"/>
      <c r="F19" s="217"/>
      <c r="G19" s="217"/>
      <c r="H19" s="217"/>
      <c r="I19" s="217"/>
      <c r="J19" s="217"/>
      <c r="K19" s="217"/>
      <c r="L19" s="217"/>
      <c r="M19" s="217"/>
      <c r="N19" s="218"/>
    </row>
    <row r="20" spans="3:14" x14ac:dyDescent="0.5">
      <c r="D20" s="137" t="s">
        <v>7</v>
      </c>
      <c r="E20" s="212">
        <v>2.4E-2</v>
      </c>
      <c r="F20" s="213"/>
      <c r="G20" s="213"/>
      <c r="H20" s="213"/>
      <c r="I20" s="213"/>
      <c r="J20" s="213"/>
      <c r="K20" s="213"/>
      <c r="L20" s="213"/>
      <c r="M20" s="213"/>
      <c r="N20" s="214"/>
    </row>
    <row r="22" spans="3:14" x14ac:dyDescent="0.5">
      <c r="D22" s="219" t="s">
        <v>105</v>
      </c>
      <c r="E22" s="219"/>
      <c r="F22" s="219"/>
      <c r="G22" s="219"/>
      <c r="H22" s="219"/>
      <c r="I22" s="219"/>
      <c r="J22" s="219"/>
      <c r="K22" s="219"/>
      <c r="L22" s="219"/>
      <c r="M22" s="219"/>
      <c r="N22" s="219"/>
    </row>
    <row r="23" spans="3:14" ht="22.8" customHeight="1" x14ac:dyDescent="0.5">
      <c r="D23" s="220" t="s">
        <v>101</v>
      </c>
      <c r="E23" s="222" t="s">
        <v>121</v>
      </c>
      <c r="F23" s="222"/>
      <c r="G23" s="222"/>
      <c r="H23" s="222"/>
      <c r="I23" s="222"/>
      <c r="J23" s="222"/>
      <c r="K23" s="222"/>
      <c r="L23" s="222"/>
      <c r="M23" s="222"/>
      <c r="N23" s="222"/>
    </row>
    <row r="24" spans="3:14" ht="22.8" customHeight="1" x14ac:dyDescent="0.5">
      <c r="D24" s="221"/>
      <c r="E24" s="222"/>
      <c r="F24" s="222"/>
      <c r="G24" s="222"/>
      <c r="H24" s="222"/>
      <c r="I24" s="222"/>
      <c r="J24" s="222"/>
      <c r="K24" s="222"/>
      <c r="L24" s="222"/>
      <c r="M24" s="222"/>
      <c r="N24" s="222"/>
    </row>
    <row r="25" spans="3:14" ht="49.8" customHeight="1" x14ac:dyDescent="0.5">
      <c r="D25" s="136" t="s">
        <v>102</v>
      </c>
      <c r="E25" s="216"/>
      <c r="F25" s="217"/>
      <c r="G25" s="217"/>
      <c r="H25" s="217"/>
      <c r="I25" s="217"/>
      <c r="J25" s="217"/>
      <c r="K25" s="217"/>
      <c r="L25" s="217"/>
      <c r="M25" s="217"/>
      <c r="N25" s="218"/>
    </row>
    <row r="26" spans="3:14" x14ac:dyDescent="0.5">
      <c r="D26" s="137" t="s">
        <v>7</v>
      </c>
      <c r="E26" s="212">
        <v>0.13769999999999999</v>
      </c>
      <c r="F26" s="213"/>
      <c r="G26" s="213"/>
      <c r="H26" s="213"/>
      <c r="I26" s="213"/>
      <c r="J26" s="213"/>
      <c r="K26" s="213"/>
      <c r="L26" s="213"/>
      <c r="M26" s="213"/>
      <c r="N26" s="214"/>
    </row>
    <row r="28" spans="3:14" ht="55.2" customHeight="1" x14ac:dyDescent="0.5">
      <c r="C28" s="215" t="s">
        <v>138</v>
      </c>
      <c r="D28" s="215"/>
      <c r="E28" s="215"/>
      <c r="F28" s="215"/>
      <c r="G28" s="215"/>
      <c r="H28" s="215"/>
      <c r="I28" s="215"/>
      <c r="J28" s="215"/>
      <c r="K28" s="215"/>
      <c r="L28" s="215"/>
      <c r="M28" s="215"/>
      <c r="N28" s="215"/>
    </row>
  </sheetData>
  <mergeCells count="21">
    <mergeCell ref="D17:D18"/>
    <mergeCell ref="E17:N18"/>
    <mergeCell ref="D3:N3"/>
    <mergeCell ref="D4:D5"/>
    <mergeCell ref="E4:N5"/>
    <mergeCell ref="E6:N6"/>
    <mergeCell ref="E7:N7"/>
    <mergeCell ref="D10:N10"/>
    <mergeCell ref="D11:D12"/>
    <mergeCell ref="E11:N12"/>
    <mergeCell ref="E13:N13"/>
    <mergeCell ref="E14:N14"/>
    <mergeCell ref="D16:N16"/>
    <mergeCell ref="E26:N26"/>
    <mergeCell ref="C28:N28"/>
    <mergeCell ref="E19:N19"/>
    <mergeCell ref="E20:N20"/>
    <mergeCell ref="D22:N22"/>
    <mergeCell ref="D23:D24"/>
    <mergeCell ref="E23:N24"/>
    <mergeCell ref="E25:N25"/>
  </mergeCells>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C28"/>
  <sheetViews>
    <sheetView showGridLines="0" zoomScale="130" zoomScaleNormal="130" workbookViewId="0">
      <selection activeCell="A25" sqref="A25"/>
    </sheetView>
  </sheetViews>
  <sheetFormatPr defaultColWidth="0" defaultRowHeight="14.4" zeroHeight="1" x14ac:dyDescent="0.3"/>
  <cols>
    <col min="1" max="1" width="131.5546875" style="112" bestFit="1" customWidth="1"/>
    <col min="2" max="3" width="9.109375" customWidth="1"/>
    <col min="4" max="16384" width="9.109375" hidden="1"/>
  </cols>
  <sheetData>
    <row r="1" spans="1:1" x14ac:dyDescent="0.3"/>
    <row r="2" spans="1:1" ht="21.6" x14ac:dyDescent="0.3">
      <c r="A2" s="118" t="s">
        <v>93</v>
      </c>
    </row>
    <row r="3" spans="1:1" ht="75" customHeight="1" x14ac:dyDescent="0.3">
      <c r="A3" s="119" t="s">
        <v>87</v>
      </c>
    </row>
    <row r="4" spans="1:1" x14ac:dyDescent="0.3"/>
    <row r="5" spans="1:1" ht="21.6" x14ac:dyDescent="0.3">
      <c r="A5" s="118" t="s">
        <v>94</v>
      </c>
    </row>
    <row r="6" spans="1:1" ht="43.2" x14ac:dyDescent="0.3">
      <c r="A6" s="119" t="s">
        <v>88</v>
      </c>
    </row>
    <row r="7" spans="1:1" x14ac:dyDescent="0.3"/>
    <row r="8" spans="1:1" x14ac:dyDescent="0.3"/>
    <row r="9" spans="1:1" ht="21.6" x14ac:dyDescent="0.3">
      <c r="A9" s="118" t="s">
        <v>95</v>
      </c>
    </row>
    <row r="10" spans="1:1" ht="86.4" x14ac:dyDescent="0.3">
      <c r="A10" s="141" t="s">
        <v>107</v>
      </c>
    </row>
    <row r="11" spans="1:1" ht="55.8" customHeight="1" x14ac:dyDescent="0.3">
      <c r="A11" s="116" t="s">
        <v>108</v>
      </c>
    </row>
    <row r="12" spans="1:1" ht="34.200000000000003" customHeight="1" x14ac:dyDescent="0.3">
      <c r="A12" s="117" t="s">
        <v>109</v>
      </c>
    </row>
    <row r="13" spans="1:1" x14ac:dyDescent="0.3"/>
    <row r="14" spans="1:1" ht="21.6" x14ac:dyDescent="0.3">
      <c r="A14" s="118" t="s">
        <v>96</v>
      </c>
    </row>
    <row r="15" spans="1:1" ht="43.2" x14ac:dyDescent="0.3">
      <c r="A15" s="116" t="s">
        <v>89</v>
      </c>
    </row>
    <row r="16" spans="1:1" ht="21.6" x14ac:dyDescent="0.3">
      <c r="A16" s="116" t="s">
        <v>128</v>
      </c>
    </row>
    <row r="17" spans="1:1" ht="21.6" x14ac:dyDescent="0.3">
      <c r="A17" s="116" t="s">
        <v>90</v>
      </c>
    </row>
    <row r="18" spans="1:1" ht="21.6" x14ac:dyDescent="0.3">
      <c r="A18" s="160" t="s">
        <v>133</v>
      </c>
    </row>
    <row r="19" spans="1:1" ht="21.6" x14ac:dyDescent="0.3">
      <c r="A19" s="117" t="s">
        <v>123</v>
      </c>
    </row>
    <row r="20" spans="1:1" x14ac:dyDescent="0.3"/>
    <row r="21" spans="1:1" ht="21.6" x14ac:dyDescent="0.3">
      <c r="A21" s="113" t="s">
        <v>97</v>
      </c>
    </row>
    <row r="22" spans="1:1" ht="21.6" x14ac:dyDescent="0.3">
      <c r="A22" s="115" t="s">
        <v>91</v>
      </c>
    </row>
    <row r="23" spans="1:1" x14ac:dyDescent="0.3"/>
    <row r="24" spans="1:1" ht="21.6" x14ac:dyDescent="0.3">
      <c r="A24" s="113" t="s">
        <v>98</v>
      </c>
    </row>
    <row r="25" spans="1:1" ht="43.2" x14ac:dyDescent="0.3">
      <c r="A25" s="114" t="s">
        <v>92</v>
      </c>
    </row>
    <row r="26" spans="1:1" x14ac:dyDescent="0.3"/>
    <row r="27" spans="1:1" x14ac:dyDescent="0.3"/>
    <row r="28" spans="1:1" x14ac:dyDescent="0.3"/>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SAMA Consumer Rules And Regulation" ma:contentTypeID="0x01010091234716FD16491C8B9B987C95E86589008A7ADCE0D810E8439DB48F18AAC4F558" ma:contentTypeVersion="15" ma:contentTypeDescription="Consumer Rules And Regulation" ma:contentTypeScope="" ma:versionID="3ce2040d0eedfaa99090918d1bb0a242">
  <xsd:schema xmlns:xsd="http://www.w3.org/2001/XMLSchema" xmlns:xs="http://www.w3.org/2001/XMLSchema" xmlns:p="http://schemas.microsoft.com/office/2006/metadata/properties" xmlns:ns2="d940b78e-a077-470a-a7ca-5512923e4653" xmlns:ns3="c6d2322e-1447-41e6-8e12-af9c90863e9c" targetNamespace="http://schemas.microsoft.com/office/2006/metadata/properties" ma:root="true" ma:fieldsID="c1eb8b01467da95f2f8bb14bf02d4db5" ns2:_="" ns3:_="">
    <xsd:import namespace="d940b78e-a077-470a-a7ca-5512923e4653"/>
    <xsd:import namespace="c6d2322e-1447-41e6-8e12-af9c90863e9c"/>
    <xsd:element name="properties">
      <xsd:complexType>
        <xsd:sequence>
          <xsd:element name="documentManagement">
            <xsd:complexType>
              <xsd:all>
                <xsd:element ref="ns2:SAMAFilePublishDate"/>
                <xsd:element ref="ns2:ChoiceField_Migration"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940b78e-a077-470a-a7ca-5512923e4653" elementFormDefault="qualified">
    <xsd:import namespace="http://schemas.microsoft.com/office/2006/documentManagement/types"/>
    <xsd:import namespace="http://schemas.microsoft.com/office/infopath/2007/PartnerControls"/>
    <xsd:element name="SAMAFilePublishDate" ma:index="9" ma:displayName="Published Date" ma:format="DateOnly" ma:internalName="SAMAFilePublishDate" ma:readOnly="false">
      <xsd:simpleType>
        <xsd:restriction base="dms:DateTime"/>
      </xsd:simpleType>
    </xsd:element>
    <xsd:element name="ChoiceField_Migration" ma:index="10" nillable="true" ma:displayName="ChoiceField_Migration" ma:internalName="ChoiceField_Migration0" ma:readOnly="fals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6d2322e-1447-41e6-8e12-af9c90863e9c" elementFormDefault="qualified">
    <xsd:import namespace="http://schemas.microsoft.com/office/2006/documentManagement/types"/>
    <xsd:import namespace="http://schemas.microsoft.com/office/infopath/2007/PartnerControls"/>
    <xsd:element name="TaxCatchAll" ma:index="11" nillable="true" ma:displayName="Taxonomy Catch All Column" ma:description="" ma:hidden="true" ma:list="{754530d6-6e73-48b4-b8b5-7143321fdc71}" ma:internalName="TaxCatchAll" ma:readOnly="false" ma:showField="CatchAllData" ma:web="2dcccdc7-6d29-4966-b3d0-f3508f11dc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c6d2322e-1447-41e6-8e12-af9c90863e9c">
      <Value>37</Value>
    </TaxCatchAll>
    <SAMAFilePublishDate xmlns="d940b78e-a077-470a-a7ca-5512923e4653">2023-11-06T21:00:00+00:00</SAMAFilePublishDate>
    <ChoiceField_Migration xmlns="d940b78e-a077-470a-a7ca-5512923e4653" xsi:nil="true"/>
  </documentManagement>
</p:properties>
</file>

<file path=customXml/itemProps1.xml><?xml version="1.0" encoding="utf-8"?>
<ds:datastoreItem xmlns:ds="http://schemas.openxmlformats.org/officeDocument/2006/customXml" ds:itemID="{88C1A4D0-B992-40AA-9C62-3AAFD499D94E}"/>
</file>

<file path=customXml/itemProps2.xml><?xml version="1.0" encoding="utf-8"?>
<ds:datastoreItem xmlns:ds="http://schemas.openxmlformats.org/officeDocument/2006/customXml" ds:itemID="{C6F37299-0675-4337-BADF-FB7C100EFE78}"/>
</file>

<file path=customXml/itemProps3.xml><?xml version="1.0" encoding="utf-8"?>
<ds:datastoreItem xmlns:ds="http://schemas.openxmlformats.org/officeDocument/2006/customXml" ds:itemID="{4004422C-3108-491B-A59B-7990917D4F7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Key Definitions</vt:lpstr>
      <vt:lpstr>Input</vt:lpstr>
      <vt:lpstr>Personal Finance</vt:lpstr>
      <vt:lpstr>Auto Finance</vt:lpstr>
      <vt:lpstr>Real Estate Finance</vt:lpstr>
      <vt:lpstr>Credit Card</vt:lpstr>
      <vt:lpstr>Inconsistent Installments</vt:lpstr>
      <vt:lpstr>Examples</vt:lpstr>
      <vt:lpstr>FAQ</vt:lpstr>
      <vt:lpstr>Input-AF (Avg Insurance) </vt:lpstr>
      <vt:lpstr>Auto Finance- Avg Insurance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APR Calculator </dc:title>
  <dc:creator>Ruchi Batra</dc:creator>
  <cp:lastModifiedBy>Fatima Hamdoun (MiddleEast)</cp:lastModifiedBy>
  <cp:lastPrinted>2022-04-17T07:51:20Z</cp:lastPrinted>
  <dcterms:created xsi:type="dcterms:W3CDTF">2021-12-01T07:33:33Z</dcterms:created>
  <dcterms:modified xsi:type="dcterms:W3CDTF">2024-01-08T10:54:12Z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0x01010091234716FD16491C8B9B987C95E86589008A7ADCE0D810E8439DB48F18AAC4F558</vt:lpwstr>
  </property>
  <property fmtid="{D5CDD505-2E9C-101B-9397-08002B2CF9AE}" pid="3" name="SAMAConsumerCategory">
    <vt:lpwstr>37;#Regulations/Rules|4f68a7b3-e45d-4b2c-9c7f-28b18b60dabf</vt:lpwstr>
  </property>
  <property fmtid="{D5CDD505-2E9C-101B-9397-08002B2CF9AE}" pid="4" name="SAMAConsumerCategoryTaxHTField0">
    <vt:lpwstr>Regulations/Rules|4f68a7b3-e45d-4b2c-9c7f-28b18b60dabf</vt:lpwstr>
  </property>
  <property fmtid="{D5CDD505-2E9C-101B-9397-08002B2CF9AE}" pid="5" name="ChoiceField_Migration">
    <vt:lpwstr/>
  </property>
  <property fmtid="{D5CDD505-2E9C-101B-9397-08002B2CF9AE}" pid="6" name="Order">
    <vt:r8>2100</vt:r8>
  </property>
  <property fmtid="{D5CDD505-2E9C-101B-9397-08002B2CF9AE}" pid="7" name="xd_Signature">
    <vt:bool>false</vt:bool>
  </property>
  <property fmtid="{D5CDD505-2E9C-101B-9397-08002B2CF9AE}" pid="8" name="xd_ProgID">
    <vt:lpwstr/>
  </property>
  <property fmtid="{D5CDD505-2E9C-101B-9397-08002B2CF9AE}" pid="9" name="_SourceUrl">
    <vt:lpwstr/>
  </property>
  <property fmtid="{D5CDD505-2E9C-101B-9397-08002B2CF9AE}" pid="10" name="_SharedFileIndex">
    <vt:lpwstr/>
  </property>
  <property fmtid="{D5CDD505-2E9C-101B-9397-08002B2CF9AE}" pid="11" name="TemplateUrl">
    <vt:lpwstr/>
  </property>
  <property fmtid="{D5CDD505-2E9C-101B-9397-08002B2CF9AE}" pid="12" name="ComplianceAssetId">
    <vt:lpwstr/>
  </property>
</Properties>
</file>